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laudio Mussa\Dropbox\Mcs\Marketing\Nuovo sito\ArchVISION OFFICE for REVIT\"/>
    </mc:Choice>
  </mc:AlternateContent>
  <xr:revisionPtr revIDLastSave="0" documentId="8_{C8E520EE-DD5D-4656-BAFD-E326D5EDBEB8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Dati Generali" sheetId="2" r:id="rId1"/>
    <sheet name="Elenco Prezzi" sheetId="1" r:id="rId2"/>
    <sheet name="Misurazioni" sheetId="4" r:id="rId3"/>
  </sheets>
  <definedNames>
    <definedName name="_xlnm.Print_Area" localSheetId="0">'Dati Generali'!$A$1:$B$1</definedName>
    <definedName name="_xlnm.Print_Area" localSheetId="1">'Elenco Prezzi'!$A$1:$F$1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002" i="4" l="1"/>
  <c r="F281" i="1"/>
  <c r="I1000" i="4"/>
  <c r="C1000" i="4"/>
  <c r="J1000" i="4"/>
  <c r="F277" i="1"/>
  <c r="H1000" i="4"/>
  <c r="H999" i="4"/>
  <c r="CV999" i="4"/>
  <c r="C997" i="4"/>
  <c r="C996" i="4"/>
  <c r="C995" i="4"/>
  <c r="B995" i="4"/>
  <c r="C994" i="4"/>
  <c r="H994" i="4"/>
  <c r="H993" i="4"/>
  <c r="CV993" i="4"/>
  <c r="C991" i="4"/>
  <c r="C990" i="4"/>
  <c r="C989" i="4"/>
  <c r="B989" i="4"/>
  <c r="I988" i="4"/>
  <c r="C988" i="4"/>
  <c r="J988" i="4"/>
  <c r="F271" i="1"/>
  <c r="H988" i="4"/>
  <c r="H987" i="4"/>
  <c r="CV987" i="4"/>
  <c r="H986" i="4"/>
  <c r="CV986" i="4"/>
  <c r="C983" i="4"/>
  <c r="C982" i="4"/>
  <c r="C981" i="4"/>
  <c r="B981" i="4"/>
  <c r="I980" i="4"/>
  <c r="C980" i="4"/>
  <c r="J980" i="4"/>
  <c r="H980" i="4"/>
  <c r="H979" i="4"/>
  <c r="CV979" i="4"/>
  <c r="H978" i="4"/>
  <c r="CV978" i="4"/>
  <c r="C975" i="4"/>
  <c r="C974" i="4"/>
  <c r="C973" i="4"/>
  <c r="B973" i="4"/>
  <c r="I972" i="4"/>
  <c r="C972" i="4"/>
  <c r="J972" i="4"/>
  <c r="F268" i="1"/>
  <c r="H972" i="4"/>
  <c r="H971" i="4"/>
  <c r="CW971" i="4"/>
  <c r="H970" i="4"/>
  <c r="CW970" i="4"/>
  <c r="H969" i="4"/>
  <c r="CW969" i="4"/>
  <c r="C966" i="4"/>
  <c r="C965" i="4"/>
  <c r="C964" i="4"/>
  <c r="B964" i="4"/>
  <c r="I963" i="4"/>
  <c r="C963" i="4"/>
  <c r="J963" i="4"/>
  <c r="H963" i="4"/>
  <c r="H962" i="4"/>
  <c r="CW962" i="4"/>
  <c r="H961" i="4"/>
  <c r="CW961" i="4"/>
  <c r="C958" i="4"/>
  <c r="C957" i="4"/>
  <c r="C956" i="4"/>
  <c r="B956" i="4"/>
  <c r="I955" i="4"/>
  <c r="C955" i="4"/>
  <c r="J955" i="4"/>
  <c r="F265" i="1"/>
  <c r="H955" i="4"/>
  <c r="H954" i="4"/>
  <c r="CV954" i="4"/>
  <c r="C952" i="4"/>
  <c r="C951" i="4"/>
  <c r="C950" i="4"/>
  <c r="B950" i="4"/>
  <c r="I949" i="4"/>
  <c r="C949" i="4"/>
  <c r="J949" i="4"/>
  <c r="F262" i="1"/>
  <c r="H949" i="4"/>
  <c r="H948" i="4"/>
  <c r="CV948" i="4"/>
  <c r="C946" i="4"/>
  <c r="C945" i="4"/>
  <c r="C944" i="4"/>
  <c r="B944" i="4"/>
  <c r="I943" i="4"/>
  <c r="C943" i="4"/>
  <c r="J943" i="4"/>
  <c r="F259" i="1"/>
  <c r="H943" i="4"/>
  <c r="H942" i="4"/>
  <c r="CV942" i="4"/>
  <c r="C940" i="4"/>
  <c r="C939" i="4"/>
  <c r="C938" i="4"/>
  <c r="B938" i="4"/>
  <c r="I937" i="4"/>
  <c r="C937" i="4"/>
  <c r="J937" i="4"/>
  <c r="F256" i="1"/>
  <c r="H937" i="4"/>
  <c r="H936" i="4"/>
  <c r="CV936" i="4"/>
  <c r="C934" i="4"/>
  <c r="C933" i="4"/>
  <c r="C932" i="4"/>
  <c r="B932" i="4"/>
  <c r="I931" i="4"/>
  <c r="C931" i="4"/>
  <c r="J931" i="4"/>
  <c r="F253" i="1"/>
  <c r="H931" i="4"/>
  <c r="H930" i="4"/>
  <c r="CW930" i="4"/>
  <c r="H929" i="4"/>
  <c r="CW929" i="4"/>
  <c r="H928" i="4"/>
  <c r="CW928" i="4"/>
  <c r="C926" i="4"/>
  <c r="C925" i="4"/>
  <c r="C924" i="4"/>
  <c r="B924" i="4"/>
  <c r="I923" i="4"/>
  <c r="C923" i="4"/>
  <c r="J923" i="4"/>
  <c r="F250" i="1"/>
  <c r="H923" i="4"/>
  <c r="H922" i="4"/>
  <c r="CW922" i="4"/>
  <c r="H921" i="4"/>
  <c r="CW921" i="4"/>
  <c r="H920" i="4"/>
  <c r="CW920" i="4"/>
  <c r="C918" i="4"/>
  <c r="C917" i="4"/>
  <c r="C916" i="4"/>
  <c r="B916" i="4"/>
  <c r="I915" i="4"/>
  <c r="C915" i="4"/>
  <c r="J915" i="4"/>
  <c r="F247" i="1"/>
  <c r="H915" i="4"/>
  <c r="H914" i="4"/>
  <c r="CW914" i="4"/>
  <c r="H913" i="4"/>
  <c r="CW913" i="4"/>
  <c r="C911" i="4"/>
  <c r="C910" i="4"/>
  <c r="C909" i="4"/>
  <c r="B909" i="4"/>
  <c r="I908" i="4"/>
  <c r="C908" i="4"/>
  <c r="J908" i="4"/>
  <c r="F244" i="1"/>
  <c r="H908" i="4"/>
  <c r="H907" i="4"/>
  <c r="CV907" i="4"/>
  <c r="C905" i="4"/>
  <c r="C904" i="4"/>
  <c r="C903" i="4"/>
  <c r="B903" i="4"/>
  <c r="I902" i="4"/>
  <c r="C902" i="4"/>
  <c r="J902" i="4"/>
  <c r="F241" i="1"/>
  <c r="H902" i="4"/>
  <c r="H901" i="4"/>
  <c r="CV901" i="4"/>
  <c r="C899" i="4"/>
  <c r="C898" i="4"/>
  <c r="C897" i="4"/>
  <c r="B897" i="4"/>
  <c r="I896" i="4"/>
  <c r="C896" i="4"/>
  <c r="J896" i="4"/>
  <c r="F238" i="1"/>
  <c r="H896" i="4"/>
  <c r="H895" i="4"/>
  <c r="CV895" i="4"/>
  <c r="C893" i="4"/>
  <c r="C892" i="4"/>
  <c r="C891" i="4"/>
  <c r="B891" i="4"/>
  <c r="I890" i="4"/>
  <c r="C890" i="4"/>
  <c r="J890" i="4"/>
  <c r="F235" i="1"/>
  <c r="H890" i="4"/>
  <c r="H889" i="4"/>
  <c r="CV889" i="4"/>
  <c r="C887" i="4"/>
  <c r="C886" i="4"/>
  <c r="C885" i="4"/>
  <c r="B885" i="4"/>
  <c r="I884" i="4"/>
  <c r="C884" i="4"/>
  <c r="J884" i="4"/>
  <c r="F232" i="1"/>
  <c r="H884" i="4"/>
  <c r="H883" i="4"/>
  <c r="CV883" i="4"/>
  <c r="C881" i="4"/>
  <c r="C880" i="4"/>
  <c r="C879" i="4"/>
  <c r="B879" i="4"/>
  <c r="I878" i="4"/>
  <c r="C878" i="4"/>
  <c r="J878" i="4"/>
  <c r="F229" i="1"/>
  <c r="H878" i="4"/>
  <c r="H877" i="4"/>
  <c r="CV877" i="4"/>
  <c r="C875" i="4"/>
  <c r="C874" i="4"/>
  <c r="C873" i="4"/>
  <c r="B873" i="4"/>
  <c r="I872" i="4"/>
  <c r="C872" i="4"/>
  <c r="J872" i="4"/>
  <c r="F226" i="1"/>
  <c r="H872" i="4"/>
  <c r="H871" i="4"/>
  <c r="CV871" i="4"/>
  <c r="C869" i="4"/>
  <c r="C868" i="4"/>
  <c r="C867" i="4"/>
  <c r="B867" i="4"/>
  <c r="I866" i="4"/>
  <c r="C866" i="4"/>
  <c r="J866" i="4"/>
  <c r="F223" i="1"/>
  <c r="H866" i="4"/>
  <c r="H865" i="4"/>
  <c r="CV865" i="4"/>
  <c r="C863" i="4"/>
  <c r="C862" i="4"/>
  <c r="C861" i="4"/>
  <c r="B861" i="4"/>
  <c r="I860" i="4"/>
  <c r="C860" i="4"/>
  <c r="J860" i="4"/>
  <c r="F220" i="1"/>
  <c r="H860" i="4"/>
  <c r="H859" i="4"/>
  <c r="CV859" i="4"/>
  <c r="C857" i="4"/>
  <c r="C856" i="4"/>
  <c r="C855" i="4"/>
  <c r="B855" i="4"/>
  <c r="I854" i="4"/>
  <c r="C854" i="4"/>
  <c r="J854" i="4"/>
  <c r="F217" i="1"/>
  <c r="H854" i="4"/>
  <c r="H853" i="4"/>
  <c r="CV853" i="4"/>
  <c r="H852" i="4"/>
  <c r="CV852" i="4"/>
  <c r="H851" i="4"/>
  <c r="CV851" i="4"/>
  <c r="H850" i="4"/>
  <c r="CV850" i="4"/>
  <c r="C848" i="4"/>
  <c r="C847" i="4"/>
  <c r="C846" i="4"/>
  <c r="B846" i="4"/>
  <c r="I845" i="4"/>
  <c r="C845" i="4"/>
  <c r="J845" i="4"/>
  <c r="F214" i="1"/>
  <c r="H845" i="4"/>
  <c r="H844" i="4"/>
  <c r="CV844" i="4"/>
  <c r="C842" i="4"/>
  <c r="C841" i="4"/>
  <c r="C840" i="4"/>
  <c r="B840" i="4"/>
  <c r="I839" i="4"/>
  <c r="C839" i="4"/>
  <c r="J839" i="4"/>
  <c r="F211" i="1"/>
  <c r="H839" i="4"/>
  <c r="H838" i="4"/>
  <c r="CV838" i="4"/>
  <c r="H837" i="4"/>
  <c r="CV837" i="4"/>
  <c r="H836" i="4"/>
  <c r="CV836" i="4"/>
  <c r="H835" i="4"/>
  <c r="CV835" i="4"/>
  <c r="H834" i="4"/>
  <c r="CV834" i="4"/>
  <c r="H833" i="4"/>
  <c r="CV833" i="4"/>
  <c r="H832" i="4"/>
  <c r="CV832" i="4"/>
  <c r="C830" i="4"/>
  <c r="C829" i="4"/>
  <c r="C828" i="4"/>
  <c r="B828" i="4"/>
  <c r="I827" i="4"/>
  <c r="C827" i="4"/>
  <c r="J827" i="4"/>
  <c r="F208" i="1"/>
  <c r="H827" i="4"/>
  <c r="H826" i="4"/>
  <c r="CW826" i="4"/>
  <c r="H825" i="4"/>
  <c r="CW825" i="4"/>
  <c r="H824" i="4"/>
  <c r="CW824" i="4"/>
  <c r="H823" i="4"/>
  <c r="CW823" i="4"/>
  <c r="H822" i="4"/>
  <c r="CW822" i="4"/>
  <c r="C820" i="4"/>
  <c r="C819" i="4"/>
  <c r="C818" i="4"/>
  <c r="B818" i="4"/>
  <c r="I817" i="4"/>
  <c r="C817" i="4"/>
  <c r="J817" i="4"/>
  <c r="F205" i="1"/>
  <c r="H817" i="4"/>
  <c r="H816" i="4"/>
  <c r="CV816" i="4"/>
  <c r="C814" i="4"/>
  <c r="C813" i="4"/>
  <c r="C812" i="4"/>
  <c r="B812" i="4"/>
  <c r="I811" i="4"/>
  <c r="C811" i="4"/>
  <c r="J811" i="4"/>
  <c r="F202" i="1"/>
  <c r="H811" i="4"/>
  <c r="H810" i="4"/>
  <c r="CV810" i="4"/>
  <c r="C808" i="4"/>
  <c r="C807" i="4"/>
  <c r="C806" i="4"/>
  <c r="B806" i="4"/>
  <c r="I805" i="4"/>
  <c r="C805" i="4"/>
  <c r="J805" i="4"/>
  <c r="F199" i="1"/>
  <c r="H805" i="4"/>
  <c r="H804" i="4"/>
  <c r="CV804" i="4"/>
  <c r="C802" i="4"/>
  <c r="C801" i="4"/>
  <c r="C800" i="4"/>
  <c r="B800" i="4"/>
  <c r="I799" i="4"/>
  <c r="C799" i="4"/>
  <c r="J799" i="4"/>
  <c r="F196" i="1"/>
  <c r="H799" i="4"/>
  <c r="H798" i="4"/>
  <c r="CV798" i="4"/>
  <c r="C796" i="4"/>
  <c r="C795" i="4"/>
  <c r="C794" i="4"/>
  <c r="B794" i="4"/>
  <c r="I793" i="4"/>
  <c r="C793" i="4"/>
  <c r="J793" i="4"/>
  <c r="F193" i="1"/>
  <c r="H793" i="4"/>
  <c r="H792" i="4"/>
  <c r="CV792" i="4"/>
  <c r="C790" i="4"/>
  <c r="C789" i="4"/>
  <c r="C788" i="4"/>
  <c r="B788" i="4"/>
  <c r="I787" i="4"/>
  <c r="C787" i="4"/>
  <c r="J787" i="4"/>
  <c r="F190" i="1"/>
  <c r="H787" i="4"/>
  <c r="H786" i="4"/>
  <c r="CV786" i="4"/>
  <c r="C784" i="4"/>
  <c r="C783" i="4"/>
  <c r="C782" i="4"/>
  <c r="B782" i="4"/>
  <c r="I781" i="4"/>
  <c r="C781" i="4"/>
  <c r="J781" i="4"/>
  <c r="F187" i="1"/>
  <c r="H781" i="4"/>
  <c r="H780" i="4"/>
  <c r="CW780" i="4"/>
  <c r="H779" i="4"/>
  <c r="CW779" i="4"/>
  <c r="H778" i="4"/>
  <c r="CW778" i="4"/>
  <c r="H777" i="4"/>
  <c r="CW777" i="4"/>
  <c r="H776" i="4"/>
  <c r="CW776" i="4"/>
  <c r="H775" i="4"/>
  <c r="CW775" i="4"/>
  <c r="H774" i="4"/>
  <c r="CW774" i="4"/>
  <c r="H773" i="4"/>
  <c r="CW773" i="4"/>
  <c r="H772" i="4"/>
  <c r="CW772" i="4"/>
  <c r="H771" i="4"/>
  <c r="CW771" i="4"/>
  <c r="C769" i="4"/>
  <c r="C768" i="4"/>
  <c r="C767" i="4"/>
  <c r="B767" i="4"/>
  <c r="I766" i="4"/>
  <c r="C766" i="4"/>
  <c r="J766" i="4"/>
  <c r="F184" i="1"/>
  <c r="H766" i="4"/>
  <c r="H765" i="4"/>
  <c r="CW765" i="4"/>
  <c r="C763" i="4"/>
  <c r="C762" i="4"/>
  <c r="C761" i="4"/>
  <c r="B761" i="4"/>
  <c r="I760" i="4"/>
  <c r="C760" i="4"/>
  <c r="J760" i="4"/>
  <c r="F181" i="1"/>
  <c r="H760" i="4"/>
  <c r="H759" i="4"/>
  <c r="CY759" i="4"/>
  <c r="CW759" i="4"/>
  <c r="H758" i="4"/>
  <c r="CY758" i="4"/>
  <c r="CW758" i="4"/>
  <c r="H757" i="4"/>
  <c r="CY757" i="4"/>
  <c r="CW757" i="4"/>
  <c r="C755" i="4"/>
  <c r="C754" i="4"/>
  <c r="C753" i="4"/>
  <c r="B753" i="4"/>
  <c r="I752" i="4"/>
  <c r="C752" i="4"/>
  <c r="J752" i="4"/>
  <c r="H752" i="4"/>
  <c r="H751" i="4"/>
  <c r="CY751" i="4"/>
  <c r="CW751" i="4"/>
  <c r="C749" i="4"/>
  <c r="C748" i="4"/>
  <c r="C747" i="4"/>
  <c r="B747" i="4"/>
  <c r="I746" i="4"/>
  <c r="C746" i="4"/>
  <c r="J746" i="4"/>
  <c r="F178" i="1"/>
  <c r="H746" i="4"/>
  <c r="H745" i="4"/>
  <c r="CY745" i="4"/>
  <c r="CW745" i="4"/>
  <c r="H744" i="4"/>
  <c r="CY744" i="4"/>
  <c r="CW744" i="4"/>
  <c r="H743" i="4"/>
  <c r="CY743" i="4"/>
  <c r="CW743" i="4"/>
  <c r="H742" i="4"/>
  <c r="CY742" i="4"/>
  <c r="CW742" i="4"/>
  <c r="H741" i="4"/>
  <c r="CY741" i="4"/>
  <c r="CW741" i="4"/>
  <c r="H740" i="4"/>
  <c r="CY740" i="4"/>
  <c r="CW740" i="4"/>
  <c r="H739" i="4"/>
  <c r="CY739" i="4"/>
  <c r="CW739" i="4"/>
  <c r="H738" i="4"/>
  <c r="CY738" i="4"/>
  <c r="CW738" i="4"/>
  <c r="H737" i="4"/>
  <c r="CY737" i="4"/>
  <c r="CW737" i="4"/>
  <c r="H736" i="4"/>
  <c r="CY736" i="4"/>
  <c r="CW736" i="4"/>
  <c r="H735" i="4"/>
  <c r="CY735" i="4"/>
  <c r="CW735" i="4"/>
  <c r="H734" i="4"/>
  <c r="CY734" i="4"/>
  <c r="CW734" i="4"/>
  <c r="H733" i="4"/>
  <c r="CY733" i="4"/>
  <c r="CW733" i="4"/>
  <c r="H732" i="4"/>
  <c r="CY732" i="4"/>
  <c r="CW732" i="4"/>
  <c r="H731" i="4"/>
  <c r="CY731" i="4"/>
  <c r="CW731" i="4"/>
  <c r="H730" i="4"/>
  <c r="CY730" i="4"/>
  <c r="CW730" i="4"/>
  <c r="H729" i="4"/>
  <c r="CY729" i="4"/>
  <c r="CW729" i="4"/>
  <c r="H728" i="4"/>
  <c r="CY728" i="4"/>
  <c r="CW728" i="4"/>
  <c r="H727" i="4"/>
  <c r="CY727" i="4"/>
  <c r="CW727" i="4"/>
  <c r="H726" i="4"/>
  <c r="CY726" i="4"/>
  <c r="CW726" i="4"/>
  <c r="H725" i="4"/>
  <c r="CY725" i="4"/>
  <c r="CW725" i="4"/>
  <c r="H724" i="4"/>
  <c r="CY724" i="4"/>
  <c r="CW724" i="4"/>
  <c r="H723" i="4"/>
  <c r="CY723" i="4"/>
  <c r="CW723" i="4"/>
  <c r="H722" i="4"/>
  <c r="CY722" i="4"/>
  <c r="CW722" i="4"/>
  <c r="C720" i="4"/>
  <c r="C719" i="4"/>
  <c r="C718" i="4"/>
  <c r="B718" i="4"/>
  <c r="I717" i="4"/>
  <c r="C717" i="4"/>
  <c r="J717" i="4"/>
  <c r="H717" i="4"/>
  <c r="H716" i="4"/>
  <c r="CY716" i="4"/>
  <c r="CW716" i="4"/>
  <c r="H715" i="4"/>
  <c r="CY715" i="4"/>
  <c r="CW715" i="4"/>
  <c r="H714" i="4"/>
  <c r="CY714" i="4"/>
  <c r="CW714" i="4"/>
  <c r="H713" i="4"/>
  <c r="CY713" i="4"/>
  <c r="CW713" i="4"/>
  <c r="H712" i="4"/>
  <c r="CY712" i="4"/>
  <c r="CW712" i="4"/>
  <c r="H711" i="4"/>
  <c r="CY711" i="4"/>
  <c r="CW711" i="4"/>
  <c r="H710" i="4"/>
  <c r="CY710" i="4"/>
  <c r="CW710" i="4"/>
  <c r="H709" i="4"/>
  <c r="CY709" i="4"/>
  <c r="CW709" i="4"/>
  <c r="H708" i="4"/>
  <c r="CY708" i="4"/>
  <c r="CW708" i="4"/>
  <c r="H707" i="4"/>
  <c r="CY707" i="4"/>
  <c r="CW707" i="4"/>
  <c r="H706" i="4"/>
  <c r="CY706" i="4"/>
  <c r="CW706" i="4"/>
  <c r="H705" i="4"/>
  <c r="CY705" i="4"/>
  <c r="CW705" i="4"/>
  <c r="C703" i="4"/>
  <c r="C702" i="4"/>
  <c r="C701" i="4"/>
  <c r="B701" i="4"/>
  <c r="C700" i="4"/>
  <c r="H700" i="4"/>
  <c r="H699" i="4"/>
  <c r="CW699" i="4"/>
  <c r="H698" i="4"/>
  <c r="CW698" i="4"/>
  <c r="H697" i="4"/>
  <c r="CW697" i="4"/>
  <c r="C695" i="4"/>
  <c r="C694" i="4"/>
  <c r="C693" i="4"/>
  <c r="B693" i="4"/>
  <c r="C692" i="4"/>
  <c r="H692" i="4"/>
  <c r="H691" i="4"/>
  <c r="CW691" i="4"/>
  <c r="H690" i="4"/>
  <c r="CW690" i="4"/>
  <c r="H689" i="4"/>
  <c r="CW689" i="4"/>
  <c r="C687" i="4"/>
  <c r="C686" i="4"/>
  <c r="C685" i="4"/>
  <c r="B685" i="4"/>
  <c r="I684" i="4"/>
  <c r="C684" i="4"/>
  <c r="J684" i="4"/>
  <c r="F172" i="1"/>
  <c r="H684" i="4"/>
  <c r="H683" i="4"/>
  <c r="CV683" i="4"/>
  <c r="C681" i="4"/>
  <c r="C680" i="4"/>
  <c r="C679" i="4"/>
  <c r="B679" i="4"/>
  <c r="I678" i="4"/>
  <c r="C678" i="4"/>
  <c r="J678" i="4"/>
  <c r="H678" i="4"/>
  <c r="H677" i="4"/>
  <c r="CV677" i="4"/>
  <c r="C675" i="4"/>
  <c r="C674" i="4"/>
  <c r="C673" i="4"/>
  <c r="B673" i="4"/>
  <c r="I672" i="4"/>
  <c r="C672" i="4"/>
  <c r="J672" i="4"/>
  <c r="F169" i="1"/>
  <c r="H672" i="4"/>
  <c r="H671" i="4"/>
  <c r="CV671" i="4"/>
  <c r="H670" i="4"/>
  <c r="CV670" i="4"/>
  <c r="C668" i="4"/>
  <c r="C667" i="4"/>
  <c r="C666" i="4"/>
  <c r="B666" i="4"/>
  <c r="I665" i="4"/>
  <c r="C665" i="4"/>
  <c r="J665" i="4"/>
  <c r="H665" i="4"/>
  <c r="H664" i="4"/>
  <c r="CV664" i="4"/>
  <c r="H663" i="4"/>
  <c r="CV663" i="4"/>
  <c r="C661" i="4"/>
  <c r="C660" i="4"/>
  <c r="C659" i="4"/>
  <c r="B659" i="4"/>
  <c r="I658" i="4"/>
  <c r="C658" i="4"/>
  <c r="J658" i="4"/>
  <c r="F166" i="1"/>
  <c r="H658" i="4"/>
  <c r="H657" i="4"/>
  <c r="CV657" i="4"/>
  <c r="C655" i="4"/>
  <c r="C654" i="4"/>
  <c r="C653" i="4"/>
  <c r="B653" i="4"/>
  <c r="I652" i="4"/>
  <c r="C652" i="4"/>
  <c r="J652" i="4"/>
  <c r="H652" i="4"/>
  <c r="H651" i="4"/>
  <c r="CV651" i="4"/>
  <c r="H650" i="4"/>
  <c r="CV650" i="4"/>
  <c r="C648" i="4"/>
  <c r="C647" i="4"/>
  <c r="C646" i="4"/>
  <c r="B646" i="4"/>
  <c r="I645" i="4"/>
  <c r="C645" i="4"/>
  <c r="J645" i="4"/>
  <c r="H645" i="4"/>
  <c r="H644" i="4"/>
  <c r="CV644" i="4"/>
  <c r="C642" i="4"/>
  <c r="C641" i="4"/>
  <c r="C640" i="4"/>
  <c r="B640" i="4"/>
  <c r="I639" i="4"/>
  <c r="C639" i="4"/>
  <c r="J639" i="4"/>
  <c r="H639" i="4"/>
  <c r="H638" i="4"/>
  <c r="CV638" i="4"/>
  <c r="H637" i="4"/>
  <c r="CV637" i="4"/>
  <c r="C635" i="4"/>
  <c r="C634" i="4"/>
  <c r="C633" i="4"/>
  <c r="B633" i="4"/>
  <c r="I632" i="4"/>
  <c r="C632" i="4"/>
  <c r="J632" i="4"/>
  <c r="F163" i="1"/>
  <c r="H632" i="4"/>
  <c r="H631" i="4"/>
  <c r="CV631" i="4"/>
  <c r="C629" i="4"/>
  <c r="C628" i="4"/>
  <c r="C627" i="4"/>
  <c r="B627" i="4"/>
  <c r="I626" i="4"/>
  <c r="C626" i="4"/>
  <c r="J626" i="4"/>
  <c r="F160" i="1"/>
  <c r="H626" i="4"/>
  <c r="H625" i="4"/>
  <c r="CW625" i="4"/>
  <c r="H624" i="4"/>
  <c r="CW624" i="4"/>
  <c r="H623" i="4"/>
  <c r="CW623" i="4"/>
  <c r="H622" i="4"/>
  <c r="CW622" i="4"/>
  <c r="C620" i="4"/>
  <c r="C619" i="4"/>
  <c r="C618" i="4"/>
  <c r="B618" i="4"/>
  <c r="I617" i="4"/>
  <c r="C617" i="4"/>
  <c r="J617" i="4"/>
  <c r="F157" i="1"/>
  <c r="H617" i="4"/>
  <c r="H616" i="4"/>
  <c r="CW616" i="4"/>
  <c r="H615" i="4"/>
  <c r="CW615" i="4"/>
  <c r="H614" i="4"/>
  <c r="CW614" i="4"/>
  <c r="H613" i="4"/>
  <c r="CW613" i="4"/>
  <c r="C611" i="4"/>
  <c r="C610" i="4"/>
  <c r="C609" i="4"/>
  <c r="B609" i="4"/>
  <c r="I608" i="4"/>
  <c r="C608" i="4"/>
  <c r="J608" i="4"/>
  <c r="F154" i="1"/>
  <c r="H608" i="4"/>
  <c r="H607" i="4"/>
  <c r="CY607" i="4"/>
  <c r="CX607" i="4"/>
  <c r="CW607" i="4"/>
  <c r="H606" i="4"/>
  <c r="CY606" i="4"/>
  <c r="CX606" i="4"/>
  <c r="CW606" i="4"/>
  <c r="H605" i="4"/>
  <c r="CY605" i="4"/>
  <c r="CX605" i="4"/>
  <c r="CW605" i="4"/>
  <c r="H604" i="4"/>
  <c r="CY604" i="4"/>
  <c r="CX604" i="4"/>
  <c r="CW604" i="4"/>
  <c r="C602" i="4"/>
  <c r="C601" i="4"/>
  <c r="C600" i="4"/>
  <c r="B600" i="4"/>
  <c r="I599" i="4"/>
  <c r="C599" i="4"/>
  <c r="J599" i="4"/>
  <c r="F151" i="1"/>
  <c r="H599" i="4"/>
  <c r="H598" i="4"/>
  <c r="CV598" i="4"/>
  <c r="C596" i="4"/>
  <c r="C595" i="4"/>
  <c r="C594" i="4"/>
  <c r="B594" i="4"/>
  <c r="I593" i="4"/>
  <c r="C593" i="4"/>
  <c r="J593" i="4"/>
  <c r="F148" i="1"/>
  <c r="H593" i="4"/>
  <c r="H592" i="4"/>
  <c r="CV592" i="4"/>
  <c r="C590" i="4"/>
  <c r="C589" i="4"/>
  <c r="C588" i="4"/>
  <c r="B588" i="4"/>
  <c r="I587" i="4"/>
  <c r="C587" i="4"/>
  <c r="J587" i="4"/>
  <c r="F145" i="1"/>
  <c r="H587" i="4"/>
  <c r="H586" i="4"/>
  <c r="CV586" i="4"/>
  <c r="H585" i="4"/>
  <c r="CV585" i="4"/>
  <c r="C583" i="4"/>
  <c r="C582" i="4"/>
  <c r="C581" i="4"/>
  <c r="B581" i="4"/>
  <c r="C580" i="4"/>
  <c r="H580" i="4"/>
  <c r="H579" i="4"/>
  <c r="CV579" i="4"/>
  <c r="H578" i="4"/>
  <c r="CV578" i="4"/>
  <c r="C576" i="4"/>
  <c r="C575" i="4"/>
  <c r="C574" i="4"/>
  <c r="B574" i="4"/>
  <c r="I573" i="4"/>
  <c r="C573" i="4"/>
  <c r="J573" i="4"/>
  <c r="F139" i="1"/>
  <c r="H573" i="4"/>
  <c r="H572" i="4"/>
  <c r="CV572" i="4"/>
  <c r="C570" i="4"/>
  <c r="C569" i="4"/>
  <c r="C568" i="4"/>
  <c r="B568" i="4"/>
  <c r="I567" i="4"/>
  <c r="C567" i="4"/>
  <c r="J567" i="4"/>
  <c r="F136" i="1"/>
  <c r="H567" i="4"/>
  <c r="H566" i="4"/>
  <c r="CV566" i="4"/>
  <c r="C564" i="4"/>
  <c r="C563" i="4"/>
  <c r="C562" i="4"/>
  <c r="B562" i="4"/>
  <c r="I561" i="4"/>
  <c r="C561" i="4"/>
  <c r="J561" i="4"/>
  <c r="F133" i="1"/>
  <c r="H561" i="4"/>
  <c r="H560" i="4"/>
  <c r="CV560" i="4"/>
  <c r="C558" i="4"/>
  <c r="C557" i="4"/>
  <c r="C556" i="4"/>
  <c r="B556" i="4"/>
  <c r="I555" i="4"/>
  <c r="C555" i="4"/>
  <c r="J555" i="4"/>
  <c r="F130" i="1"/>
  <c r="H555" i="4"/>
  <c r="H554" i="4"/>
  <c r="CV554" i="4"/>
  <c r="C552" i="4"/>
  <c r="C551" i="4"/>
  <c r="C550" i="4"/>
  <c r="B550" i="4"/>
  <c r="I549" i="4"/>
  <c r="C549" i="4"/>
  <c r="J549" i="4"/>
  <c r="F127" i="1"/>
  <c r="H549" i="4"/>
  <c r="H548" i="4"/>
  <c r="CV548" i="4"/>
  <c r="H547" i="4"/>
  <c r="CV547" i="4"/>
  <c r="C545" i="4"/>
  <c r="C544" i="4"/>
  <c r="C543" i="4"/>
  <c r="B543" i="4"/>
  <c r="I542" i="4"/>
  <c r="C542" i="4"/>
  <c r="J542" i="4"/>
  <c r="F124" i="1"/>
  <c r="H542" i="4"/>
  <c r="H541" i="4"/>
  <c r="CV541" i="4"/>
  <c r="C539" i="4"/>
  <c r="C538" i="4"/>
  <c r="C537" i="4"/>
  <c r="B537" i="4"/>
  <c r="I536" i="4"/>
  <c r="C536" i="4"/>
  <c r="J536" i="4"/>
  <c r="F121" i="1"/>
  <c r="H536" i="4"/>
  <c r="H535" i="4"/>
  <c r="CV535" i="4"/>
  <c r="C533" i="4"/>
  <c r="C532" i="4"/>
  <c r="C531" i="4"/>
  <c r="B531" i="4"/>
  <c r="I530" i="4"/>
  <c r="C530" i="4"/>
  <c r="J530" i="4"/>
  <c r="F118" i="1"/>
  <c r="H530" i="4"/>
  <c r="H529" i="4"/>
  <c r="CV529" i="4"/>
  <c r="C527" i="4"/>
  <c r="C526" i="4"/>
  <c r="C525" i="4"/>
  <c r="B525" i="4"/>
  <c r="I524" i="4"/>
  <c r="C524" i="4"/>
  <c r="J524" i="4"/>
  <c r="F115" i="1"/>
  <c r="H524" i="4"/>
  <c r="H523" i="4"/>
  <c r="CV523" i="4"/>
  <c r="C521" i="4"/>
  <c r="C520" i="4"/>
  <c r="C519" i="4"/>
  <c r="B519" i="4"/>
  <c r="I518" i="4"/>
  <c r="C518" i="4"/>
  <c r="J518" i="4"/>
  <c r="F112" i="1"/>
  <c r="H518" i="4"/>
  <c r="H517" i="4"/>
  <c r="CV517" i="4"/>
  <c r="H516" i="4"/>
  <c r="CV516" i="4"/>
  <c r="H515" i="4"/>
  <c r="CV515" i="4"/>
  <c r="H514" i="4"/>
  <c r="CV514" i="4"/>
  <c r="C512" i="4"/>
  <c r="C511" i="4"/>
  <c r="C510" i="4"/>
  <c r="B510" i="4"/>
  <c r="I509" i="4"/>
  <c r="C509" i="4"/>
  <c r="J509" i="4"/>
  <c r="F109" i="1"/>
  <c r="H509" i="4"/>
  <c r="H508" i="4"/>
  <c r="CV508" i="4"/>
  <c r="H507" i="4"/>
  <c r="CV507" i="4"/>
  <c r="C505" i="4"/>
  <c r="C504" i="4"/>
  <c r="C503" i="4"/>
  <c r="B503" i="4"/>
  <c r="I502" i="4"/>
  <c r="C502" i="4"/>
  <c r="J502" i="4"/>
  <c r="F106" i="1"/>
  <c r="H502" i="4"/>
  <c r="H501" i="4"/>
  <c r="CV501" i="4"/>
  <c r="H500" i="4"/>
  <c r="CV500" i="4"/>
  <c r="C498" i="4"/>
  <c r="C497" i="4"/>
  <c r="C496" i="4"/>
  <c r="B496" i="4"/>
  <c r="I495" i="4"/>
  <c r="C495" i="4"/>
  <c r="J495" i="4"/>
  <c r="F103" i="1"/>
  <c r="H495" i="4"/>
  <c r="H494" i="4"/>
  <c r="CV494" i="4"/>
  <c r="H493" i="4"/>
  <c r="CV493" i="4"/>
  <c r="C491" i="4"/>
  <c r="C490" i="4"/>
  <c r="C489" i="4"/>
  <c r="B489" i="4"/>
  <c r="I488" i="4"/>
  <c r="C488" i="4"/>
  <c r="J488" i="4"/>
  <c r="F100" i="1"/>
  <c r="H488" i="4"/>
  <c r="H487" i="4"/>
  <c r="CV487" i="4"/>
  <c r="C485" i="4"/>
  <c r="C484" i="4"/>
  <c r="C483" i="4"/>
  <c r="B483" i="4"/>
  <c r="I482" i="4"/>
  <c r="C482" i="4"/>
  <c r="J482" i="4"/>
  <c r="F97" i="1"/>
  <c r="H482" i="4"/>
  <c r="H481" i="4"/>
  <c r="CV481" i="4"/>
  <c r="C479" i="4"/>
  <c r="C478" i="4"/>
  <c r="C477" i="4"/>
  <c r="B477" i="4"/>
  <c r="I476" i="4"/>
  <c r="C476" i="4"/>
  <c r="J476" i="4"/>
  <c r="F94" i="1"/>
  <c r="H476" i="4"/>
  <c r="H475" i="4"/>
  <c r="CV475" i="4"/>
  <c r="C473" i="4"/>
  <c r="C472" i="4"/>
  <c r="C471" i="4"/>
  <c r="B471" i="4"/>
  <c r="I470" i="4"/>
  <c r="C470" i="4"/>
  <c r="J470" i="4"/>
  <c r="F91" i="1"/>
  <c r="H470" i="4"/>
  <c r="H469" i="4"/>
  <c r="CV469" i="4"/>
  <c r="C467" i="4"/>
  <c r="C466" i="4"/>
  <c r="C465" i="4"/>
  <c r="B465" i="4"/>
  <c r="I464" i="4"/>
  <c r="C464" i="4"/>
  <c r="J464" i="4"/>
  <c r="F88" i="1"/>
  <c r="H464" i="4"/>
  <c r="H463" i="4"/>
  <c r="CV463" i="4"/>
  <c r="C461" i="4"/>
  <c r="C460" i="4"/>
  <c r="C459" i="4"/>
  <c r="B459" i="4"/>
  <c r="I458" i="4"/>
  <c r="C458" i="4"/>
  <c r="J458" i="4"/>
  <c r="F85" i="1"/>
  <c r="H458" i="4"/>
  <c r="H457" i="4"/>
  <c r="CV457" i="4"/>
  <c r="C455" i="4"/>
  <c r="C454" i="4"/>
  <c r="C453" i="4"/>
  <c r="B453" i="4"/>
  <c r="C452" i="4"/>
  <c r="H452" i="4"/>
  <c r="H451" i="4"/>
  <c r="CV451" i="4"/>
  <c r="C449" i="4"/>
  <c r="C448" i="4"/>
  <c r="C447" i="4"/>
  <c r="B447" i="4"/>
  <c r="C446" i="4"/>
  <c r="H446" i="4"/>
  <c r="H445" i="4"/>
  <c r="CV445" i="4"/>
  <c r="C443" i="4"/>
  <c r="C442" i="4"/>
  <c r="C441" i="4"/>
  <c r="B441" i="4"/>
  <c r="I440" i="4"/>
  <c r="C440" i="4"/>
  <c r="J440" i="4"/>
  <c r="F76" i="1"/>
  <c r="H440" i="4"/>
  <c r="H439" i="4"/>
  <c r="CV439" i="4"/>
  <c r="C437" i="4"/>
  <c r="C436" i="4"/>
  <c r="C435" i="4"/>
  <c r="B435" i="4"/>
  <c r="I434" i="4"/>
  <c r="C434" i="4"/>
  <c r="J434" i="4"/>
  <c r="F73" i="1"/>
  <c r="H434" i="4"/>
  <c r="H433" i="4"/>
  <c r="CV433" i="4"/>
  <c r="C431" i="4"/>
  <c r="C430" i="4"/>
  <c r="C429" i="4"/>
  <c r="B429" i="4"/>
  <c r="I428" i="4"/>
  <c r="C428" i="4"/>
  <c r="J428" i="4"/>
  <c r="F70" i="1"/>
  <c r="H428" i="4"/>
  <c r="H427" i="4"/>
  <c r="CV427" i="4"/>
  <c r="C425" i="4"/>
  <c r="C424" i="4"/>
  <c r="C423" i="4"/>
  <c r="B423" i="4"/>
  <c r="I422" i="4"/>
  <c r="C422" i="4"/>
  <c r="J422" i="4"/>
  <c r="F67" i="1"/>
  <c r="H422" i="4"/>
  <c r="H421" i="4"/>
  <c r="CV421" i="4"/>
  <c r="C419" i="4"/>
  <c r="C418" i="4"/>
  <c r="C417" i="4"/>
  <c r="B417" i="4"/>
  <c r="I416" i="4"/>
  <c r="C416" i="4"/>
  <c r="J416" i="4"/>
  <c r="F64" i="1"/>
  <c r="H416" i="4"/>
  <c r="H415" i="4"/>
  <c r="CV415" i="4"/>
  <c r="C413" i="4"/>
  <c r="C412" i="4"/>
  <c r="C411" i="4"/>
  <c r="B411" i="4"/>
  <c r="I410" i="4"/>
  <c r="C410" i="4"/>
  <c r="J410" i="4"/>
  <c r="F61" i="1"/>
  <c r="H410" i="4"/>
  <c r="H409" i="4"/>
  <c r="CY409" i="4"/>
  <c r="CV409" i="4"/>
  <c r="C407" i="4"/>
  <c r="C406" i="4"/>
  <c r="C405" i="4"/>
  <c r="B405" i="4"/>
  <c r="I404" i="4"/>
  <c r="C404" i="4"/>
  <c r="J404" i="4"/>
  <c r="F58" i="1"/>
  <c r="H404" i="4"/>
  <c r="H403" i="4"/>
  <c r="CY403" i="4"/>
  <c r="CV403" i="4"/>
  <c r="C401" i="4"/>
  <c r="C400" i="4"/>
  <c r="C399" i="4"/>
  <c r="B399" i="4"/>
  <c r="I398" i="4"/>
  <c r="C398" i="4"/>
  <c r="J398" i="4"/>
  <c r="H398" i="4"/>
  <c r="H397" i="4"/>
  <c r="CY397" i="4"/>
  <c r="CV397" i="4"/>
  <c r="C395" i="4"/>
  <c r="C394" i="4"/>
  <c r="C393" i="4"/>
  <c r="B393" i="4"/>
  <c r="I392" i="4"/>
  <c r="C392" i="4"/>
  <c r="J392" i="4"/>
  <c r="F55" i="1"/>
  <c r="H392" i="4"/>
  <c r="H391" i="4"/>
  <c r="CV391" i="4"/>
  <c r="H390" i="4"/>
  <c r="CV390" i="4"/>
  <c r="C388" i="4"/>
  <c r="C387" i="4"/>
  <c r="C386" i="4"/>
  <c r="B386" i="4"/>
  <c r="I385" i="4"/>
  <c r="C385" i="4"/>
  <c r="J385" i="4"/>
  <c r="F52" i="1"/>
  <c r="H385" i="4"/>
  <c r="H384" i="4"/>
  <c r="CV384" i="4"/>
  <c r="H383" i="4"/>
  <c r="CV383" i="4"/>
  <c r="C381" i="4"/>
  <c r="C380" i="4"/>
  <c r="C379" i="4"/>
  <c r="B379" i="4"/>
  <c r="I378" i="4"/>
  <c r="C378" i="4"/>
  <c r="J378" i="4"/>
  <c r="F49" i="1"/>
  <c r="H378" i="4"/>
  <c r="H377" i="4"/>
  <c r="CY377" i="4"/>
  <c r="CV377" i="4"/>
  <c r="C375" i="4"/>
  <c r="C374" i="4"/>
  <c r="C373" i="4"/>
  <c r="B373" i="4"/>
  <c r="I372" i="4"/>
  <c r="C372" i="4"/>
  <c r="J372" i="4"/>
  <c r="H372" i="4"/>
  <c r="H371" i="4"/>
  <c r="CY371" i="4"/>
  <c r="CV371" i="4"/>
  <c r="C369" i="4"/>
  <c r="C368" i="4"/>
  <c r="C367" i="4"/>
  <c r="B367" i="4"/>
  <c r="I366" i="4"/>
  <c r="C366" i="4"/>
  <c r="J366" i="4"/>
  <c r="F46" i="1"/>
  <c r="H366" i="4"/>
  <c r="H365" i="4"/>
  <c r="CV365" i="4"/>
  <c r="H364" i="4"/>
  <c r="CV364" i="4"/>
  <c r="C362" i="4"/>
  <c r="C361" i="4"/>
  <c r="C360" i="4"/>
  <c r="B360" i="4"/>
  <c r="I359" i="4"/>
  <c r="C359" i="4"/>
  <c r="J359" i="4"/>
  <c r="H359" i="4"/>
  <c r="H358" i="4"/>
  <c r="CV358" i="4"/>
  <c r="C356" i="4"/>
  <c r="C355" i="4"/>
  <c r="C354" i="4"/>
  <c r="B354" i="4"/>
  <c r="I353" i="4"/>
  <c r="C353" i="4"/>
  <c r="J353" i="4"/>
  <c r="H353" i="4"/>
  <c r="H352" i="4"/>
  <c r="CV352" i="4"/>
  <c r="C350" i="4"/>
  <c r="C349" i="4"/>
  <c r="C348" i="4"/>
  <c r="B348" i="4"/>
  <c r="I347" i="4"/>
  <c r="C347" i="4"/>
  <c r="J347" i="4"/>
  <c r="H347" i="4"/>
  <c r="H346" i="4"/>
  <c r="CV346" i="4"/>
  <c r="C344" i="4"/>
  <c r="C343" i="4"/>
  <c r="C342" i="4"/>
  <c r="B342" i="4"/>
  <c r="I341" i="4"/>
  <c r="C341" i="4"/>
  <c r="J341" i="4"/>
  <c r="H341" i="4"/>
  <c r="H340" i="4"/>
  <c r="CV340" i="4"/>
  <c r="C338" i="4"/>
  <c r="C337" i="4"/>
  <c r="C336" i="4"/>
  <c r="B336" i="4"/>
  <c r="I335" i="4"/>
  <c r="C335" i="4"/>
  <c r="J335" i="4"/>
  <c r="H335" i="4"/>
  <c r="H334" i="4"/>
  <c r="CV334" i="4"/>
  <c r="C332" i="4"/>
  <c r="C331" i="4"/>
  <c r="C330" i="4"/>
  <c r="B330" i="4"/>
  <c r="I329" i="4"/>
  <c r="C329" i="4"/>
  <c r="J329" i="4"/>
  <c r="F43" i="1"/>
  <c r="H329" i="4"/>
  <c r="H328" i="4"/>
  <c r="CV328" i="4"/>
  <c r="C326" i="4"/>
  <c r="C325" i="4"/>
  <c r="C324" i="4"/>
  <c r="B324" i="4"/>
  <c r="I323" i="4"/>
  <c r="C323" i="4"/>
  <c r="J323" i="4"/>
  <c r="H323" i="4"/>
  <c r="H322" i="4"/>
  <c r="CV322" i="4"/>
  <c r="C320" i="4"/>
  <c r="C319" i="4"/>
  <c r="C318" i="4"/>
  <c r="B318" i="4"/>
  <c r="I317" i="4"/>
  <c r="C317" i="4"/>
  <c r="J317" i="4"/>
  <c r="H317" i="4"/>
  <c r="H316" i="4"/>
  <c r="CV316" i="4"/>
  <c r="H315" i="4"/>
  <c r="CV315" i="4"/>
  <c r="C313" i="4"/>
  <c r="C312" i="4"/>
  <c r="C311" i="4"/>
  <c r="B311" i="4"/>
  <c r="I310" i="4"/>
  <c r="C310" i="4"/>
  <c r="J310" i="4"/>
  <c r="H310" i="4"/>
  <c r="H309" i="4"/>
  <c r="CV309" i="4"/>
  <c r="C307" i="4"/>
  <c r="C306" i="4"/>
  <c r="C305" i="4"/>
  <c r="B305" i="4"/>
  <c r="I304" i="4"/>
  <c r="C304" i="4"/>
  <c r="J304" i="4"/>
  <c r="H304" i="4"/>
  <c r="H303" i="4"/>
  <c r="CV303" i="4"/>
  <c r="C301" i="4"/>
  <c r="C300" i="4"/>
  <c r="C299" i="4"/>
  <c r="B299" i="4"/>
  <c r="I298" i="4"/>
  <c r="C298" i="4"/>
  <c r="J298" i="4"/>
  <c r="F40" i="1"/>
  <c r="H298" i="4"/>
  <c r="H297" i="4"/>
  <c r="CV297" i="4"/>
  <c r="C295" i="4"/>
  <c r="C294" i="4"/>
  <c r="C293" i="4"/>
  <c r="B293" i="4"/>
  <c r="I292" i="4"/>
  <c r="C292" i="4"/>
  <c r="J292" i="4"/>
  <c r="H292" i="4"/>
  <c r="H291" i="4"/>
  <c r="CV291" i="4"/>
  <c r="C289" i="4"/>
  <c r="C288" i="4"/>
  <c r="C287" i="4"/>
  <c r="B287" i="4"/>
  <c r="I286" i="4"/>
  <c r="C286" i="4"/>
  <c r="J286" i="4"/>
  <c r="H286" i="4"/>
  <c r="H285" i="4"/>
  <c r="CV285" i="4"/>
  <c r="C283" i="4"/>
  <c r="C282" i="4"/>
  <c r="C281" i="4"/>
  <c r="B281" i="4"/>
  <c r="I280" i="4"/>
  <c r="C280" i="4"/>
  <c r="J280" i="4"/>
  <c r="H280" i="4"/>
  <c r="H279" i="4"/>
  <c r="CV279" i="4"/>
  <c r="C277" i="4"/>
  <c r="C276" i="4"/>
  <c r="C275" i="4"/>
  <c r="B275" i="4"/>
  <c r="I274" i="4"/>
  <c r="C274" i="4"/>
  <c r="J274" i="4"/>
  <c r="H274" i="4"/>
  <c r="H273" i="4"/>
  <c r="CV273" i="4"/>
  <c r="C271" i="4"/>
  <c r="C270" i="4"/>
  <c r="C269" i="4"/>
  <c r="B269" i="4"/>
  <c r="I268" i="4"/>
  <c r="C268" i="4"/>
  <c r="J268" i="4"/>
  <c r="F37" i="1"/>
  <c r="H268" i="4"/>
  <c r="H267" i="4"/>
  <c r="CW267" i="4"/>
  <c r="H266" i="4"/>
  <c r="CW266" i="4"/>
  <c r="C264" i="4"/>
  <c r="C263" i="4"/>
  <c r="C262" i="4"/>
  <c r="B262" i="4"/>
  <c r="I261" i="4"/>
  <c r="C261" i="4"/>
  <c r="J261" i="4"/>
  <c r="H261" i="4"/>
  <c r="H260" i="4"/>
  <c r="CW260" i="4"/>
  <c r="H259" i="4"/>
  <c r="CW259" i="4"/>
  <c r="C256" i="4"/>
  <c r="C255" i="4"/>
  <c r="C254" i="4"/>
  <c r="B254" i="4"/>
  <c r="I253" i="4"/>
  <c r="C253" i="4"/>
  <c r="J253" i="4"/>
  <c r="F34" i="1"/>
  <c r="H253" i="4"/>
  <c r="H252" i="4"/>
  <c r="CY252" i="4"/>
  <c r="CV252" i="4"/>
  <c r="C250" i="4"/>
  <c r="C249" i="4"/>
  <c r="C248" i="4"/>
  <c r="B248" i="4"/>
  <c r="I247" i="4"/>
  <c r="C247" i="4"/>
  <c r="J247" i="4"/>
  <c r="H247" i="4"/>
  <c r="H246" i="4"/>
  <c r="CY246" i="4"/>
  <c r="CV246" i="4"/>
  <c r="C244" i="4"/>
  <c r="C243" i="4"/>
  <c r="C242" i="4"/>
  <c r="B242" i="4"/>
  <c r="I241" i="4"/>
  <c r="C241" i="4"/>
  <c r="J241" i="4"/>
  <c r="F31" i="1"/>
  <c r="H241" i="4"/>
  <c r="H240" i="4"/>
  <c r="CY240" i="4"/>
  <c r="CX240" i="4"/>
  <c r="CW240" i="4"/>
  <c r="H239" i="4"/>
  <c r="CY239" i="4"/>
  <c r="CX239" i="4"/>
  <c r="CW239" i="4"/>
  <c r="H238" i="4"/>
  <c r="CY238" i="4"/>
  <c r="CX238" i="4"/>
  <c r="CW238" i="4"/>
  <c r="C235" i="4"/>
  <c r="C234" i="4"/>
  <c r="C233" i="4"/>
  <c r="B233" i="4"/>
  <c r="I232" i="4"/>
  <c r="C232" i="4"/>
  <c r="J232" i="4"/>
  <c r="H232" i="4"/>
  <c r="H231" i="4"/>
  <c r="CY231" i="4"/>
  <c r="CX231" i="4"/>
  <c r="CW231" i="4"/>
  <c r="H230" i="4"/>
  <c r="CY230" i="4"/>
  <c r="CX230" i="4"/>
  <c r="CW230" i="4"/>
  <c r="H229" i="4"/>
  <c r="CY229" i="4"/>
  <c r="CX229" i="4"/>
  <c r="CW229" i="4"/>
  <c r="C226" i="4"/>
  <c r="C225" i="4"/>
  <c r="C224" i="4"/>
  <c r="B224" i="4"/>
  <c r="I223" i="4"/>
  <c r="C223" i="4"/>
  <c r="J223" i="4"/>
  <c r="F28" i="1"/>
  <c r="H223" i="4"/>
  <c r="H222" i="4"/>
  <c r="CY222" i="4"/>
  <c r="CX222" i="4"/>
  <c r="CW222" i="4"/>
  <c r="H221" i="4"/>
  <c r="CY221" i="4"/>
  <c r="CX221" i="4"/>
  <c r="CW221" i="4"/>
  <c r="H220" i="4"/>
  <c r="CY220" i="4"/>
  <c r="CX220" i="4"/>
  <c r="CW220" i="4"/>
  <c r="CV220" i="4"/>
  <c r="H219" i="4"/>
  <c r="CY219" i="4"/>
  <c r="CX219" i="4"/>
  <c r="CW219" i="4"/>
  <c r="CV219" i="4"/>
  <c r="H218" i="4"/>
  <c r="CY218" i="4"/>
  <c r="CX218" i="4"/>
  <c r="CW218" i="4"/>
  <c r="CV218" i="4"/>
  <c r="H217" i="4"/>
  <c r="CY217" i="4"/>
  <c r="CX217" i="4"/>
  <c r="CW217" i="4"/>
  <c r="C215" i="4"/>
  <c r="C214" i="4"/>
  <c r="C213" i="4"/>
  <c r="B213" i="4"/>
  <c r="I212" i="4"/>
  <c r="C212" i="4"/>
  <c r="J212" i="4"/>
  <c r="H212" i="4"/>
  <c r="H211" i="4"/>
  <c r="CY211" i="4"/>
  <c r="CX211" i="4"/>
  <c r="CW211" i="4"/>
  <c r="CV211" i="4"/>
  <c r="H210" i="4"/>
  <c r="CY210" i="4"/>
  <c r="CX210" i="4"/>
  <c r="CW210" i="4"/>
  <c r="CV210" i="4"/>
  <c r="H209" i="4"/>
  <c r="CY209" i="4"/>
  <c r="CX209" i="4"/>
  <c r="CW209" i="4"/>
  <c r="CV209" i="4"/>
  <c r="H208" i="4"/>
  <c r="CY208" i="4"/>
  <c r="CX208" i="4"/>
  <c r="CW208" i="4"/>
  <c r="C206" i="4"/>
  <c r="C205" i="4"/>
  <c r="C204" i="4"/>
  <c r="B204" i="4"/>
  <c r="I203" i="4"/>
  <c r="C203" i="4"/>
  <c r="J203" i="4"/>
  <c r="F25" i="1"/>
  <c r="H203" i="4"/>
  <c r="H202" i="4"/>
  <c r="CY202" i="4"/>
  <c r="CW202" i="4"/>
  <c r="H201" i="4"/>
  <c r="CY201" i="4"/>
  <c r="CW201" i="4"/>
  <c r="H200" i="4"/>
  <c r="CY200" i="4"/>
  <c r="CW200" i="4"/>
  <c r="C197" i="4"/>
  <c r="C196" i="4"/>
  <c r="C195" i="4"/>
  <c r="B195" i="4"/>
  <c r="I194" i="4"/>
  <c r="C194" i="4"/>
  <c r="J194" i="4"/>
  <c r="H194" i="4"/>
  <c r="H193" i="4"/>
  <c r="CY193" i="4"/>
  <c r="CW193" i="4"/>
  <c r="H192" i="4"/>
  <c r="CY192" i="4"/>
  <c r="CW192" i="4"/>
  <c r="H191" i="4"/>
  <c r="CY191" i="4"/>
  <c r="CW191" i="4"/>
  <c r="C188" i="4"/>
  <c r="C187" i="4"/>
  <c r="C186" i="4"/>
  <c r="B186" i="4"/>
  <c r="I185" i="4"/>
  <c r="C185" i="4"/>
  <c r="J185" i="4"/>
  <c r="F22" i="1"/>
  <c r="H185" i="4"/>
  <c r="H184" i="4"/>
  <c r="CY184" i="4"/>
  <c r="CV184" i="4"/>
  <c r="C182" i="4"/>
  <c r="C181" i="4"/>
  <c r="C180" i="4"/>
  <c r="B180" i="4"/>
  <c r="I179" i="4"/>
  <c r="C179" i="4"/>
  <c r="J179" i="4"/>
  <c r="H179" i="4"/>
  <c r="H178" i="4"/>
  <c r="CY178" i="4"/>
  <c r="CV178" i="4"/>
  <c r="C176" i="4"/>
  <c r="C175" i="4"/>
  <c r="C174" i="4"/>
  <c r="B174" i="4"/>
  <c r="I173" i="4"/>
  <c r="C173" i="4"/>
  <c r="J173" i="4"/>
  <c r="F19" i="1"/>
  <c r="H173" i="4"/>
  <c r="H172" i="4"/>
  <c r="CY172" i="4"/>
  <c r="CX172" i="4"/>
  <c r="CW172" i="4"/>
  <c r="H171" i="4"/>
  <c r="CY171" i="4"/>
  <c r="CX171" i="4"/>
  <c r="CW171" i="4"/>
  <c r="H170" i="4"/>
  <c r="CY170" i="4"/>
  <c r="CX170" i="4"/>
  <c r="CW170" i="4"/>
  <c r="H169" i="4"/>
  <c r="CY169" i="4"/>
  <c r="CX169" i="4"/>
  <c r="CW169" i="4"/>
  <c r="CV169" i="4"/>
  <c r="H168" i="4"/>
  <c r="CY168" i="4"/>
  <c r="CX168" i="4"/>
  <c r="CW168" i="4"/>
  <c r="CV168" i="4"/>
  <c r="H167" i="4"/>
  <c r="CY167" i="4"/>
  <c r="CX167" i="4"/>
  <c r="CW167" i="4"/>
  <c r="CV167" i="4"/>
  <c r="H166" i="4"/>
  <c r="CY166" i="4"/>
  <c r="CX166" i="4"/>
  <c r="CW166" i="4"/>
  <c r="H165" i="4"/>
  <c r="CY165" i="4"/>
  <c r="CX165" i="4"/>
  <c r="CW165" i="4"/>
  <c r="H164" i="4"/>
  <c r="CY164" i="4"/>
  <c r="CX164" i="4"/>
  <c r="CW164" i="4"/>
  <c r="H163" i="4"/>
  <c r="CY163" i="4"/>
  <c r="CX163" i="4"/>
  <c r="CW163" i="4"/>
  <c r="H162" i="4"/>
  <c r="CY162" i="4"/>
  <c r="CX162" i="4"/>
  <c r="CW162" i="4"/>
  <c r="H161" i="4"/>
  <c r="CY161" i="4"/>
  <c r="CX161" i="4"/>
  <c r="CW161" i="4"/>
  <c r="H160" i="4"/>
  <c r="CY160" i="4"/>
  <c r="CX160" i="4"/>
  <c r="CW160" i="4"/>
  <c r="H159" i="4"/>
  <c r="CY159" i="4"/>
  <c r="CX159" i="4"/>
  <c r="CW159" i="4"/>
  <c r="H158" i="4"/>
  <c r="CY158" i="4"/>
  <c r="CX158" i="4"/>
  <c r="CW158" i="4"/>
  <c r="H157" i="4"/>
  <c r="CY157" i="4"/>
  <c r="CX157" i="4"/>
  <c r="CW157" i="4"/>
  <c r="H156" i="4"/>
  <c r="CY156" i="4"/>
  <c r="CX156" i="4"/>
  <c r="CW156" i="4"/>
  <c r="H155" i="4"/>
  <c r="CY155" i="4"/>
  <c r="CX155" i="4"/>
  <c r="CW155" i="4"/>
  <c r="H154" i="4"/>
  <c r="CY154" i="4"/>
  <c r="CX154" i="4"/>
  <c r="CW154" i="4"/>
  <c r="H153" i="4"/>
  <c r="CY153" i="4"/>
  <c r="CX153" i="4"/>
  <c r="CW153" i="4"/>
  <c r="H152" i="4"/>
  <c r="CY152" i="4"/>
  <c r="CX152" i="4"/>
  <c r="CW152" i="4"/>
  <c r="H151" i="4"/>
  <c r="CY151" i="4"/>
  <c r="CX151" i="4"/>
  <c r="CW151" i="4"/>
  <c r="H150" i="4"/>
  <c r="CY150" i="4"/>
  <c r="CX150" i="4"/>
  <c r="CW150" i="4"/>
  <c r="H149" i="4"/>
  <c r="CY149" i="4"/>
  <c r="CX149" i="4"/>
  <c r="CW149" i="4"/>
  <c r="H148" i="4"/>
  <c r="CY148" i="4"/>
  <c r="CX148" i="4"/>
  <c r="CW148" i="4"/>
  <c r="H147" i="4"/>
  <c r="CY147" i="4"/>
  <c r="CX147" i="4"/>
  <c r="CW147" i="4"/>
  <c r="H146" i="4"/>
  <c r="CY146" i="4"/>
  <c r="CX146" i="4"/>
  <c r="CW146" i="4"/>
  <c r="C144" i="4"/>
  <c r="C143" i="4"/>
  <c r="C142" i="4"/>
  <c r="B142" i="4"/>
  <c r="I141" i="4"/>
  <c r="C141" i="4"/>
  <c r="J141" i="4"/>
  <c r="H141" i="4"/>
  <c r="H140" i="4"/>
  <c r="CY140" i="4"/>
  <c r="CX140" i="4"/>
  <c r="CW140" i="4"/>
  <c r="CV140" i="4"/>
  <c r="H139" i="4"/>
  <c r="CY139" i="4"/>
  <c r="CX139" i="4"/>
  <c r="CW139" i="4"/>
  <c r="CV139" i="4"/>
  <c r="H138" i="4"/>
  <c r="CY138" i="4"/>
  <c r="CX138" i="4"/>
  <c r="CW138" i="4"/>
  <c r="CV138" i="4"/>
  <c r="H137" i="4"/>
  <c r="CY137" i="4"/>
  <c r="CX137" i="4"/>
  <c r="CW137" i="4"/>
  <c r="H136" i="4"/>
  <c r="CY136" i="4"/>
  <c r="CX136" i="4"/>
  <c r="CW136" i="4"/>
  <c r="H135" i="4"/>
  <c r="CY135" i="4"/>
  <c r="CX135" i="4"/>
  <c r="CW135" i="4"/>
  <c r="C133" i="4"/>
  <c r="C132" i="4"/>
  <c r="C131" i="4"/>
  <c r="B131" i="4"/>
  <c r="I130" i="4"/>
  <c r="C130" i="4"/>
  <c r="J130" i="4"/>
  <c r="F16" i="1"/>
  <c r="H130" i="4"/>
  <c r="H129" i="4"/>
  <c r="CY129" i="4"/>
  <c r="CX129" i="4"/>
  <c r="CW129" i="4"/>
  <c r="H128" i="4"/>
  <c r="CY128" i="4"/>
  <c r="CX128" i="4"/>
  <c r="CW128" i="4"/>
  <c r="H127" i="4"/>
  <c r="CY127" i="4"/>
  <c r="CX127" i="4"/>
  <c r="CW127" i="4"/>
  <c r="H126" i="4"/>
  <c r="CY126" i="4"/>
  <c r="CX126" i="4"/>
  <c r="CW126" i="4"/>
  <c r="C124" i="4"/>
  <c r="C123" i="4"/>
  <c r="C122" i="4"/>
  <c r="B122" i="4"/>
  <c r="I121" i="4"/>
  <c r="C121" i="4"/>
  <c r="J121" i="4"/>
  <c r="F13" i="1"/>
  <c r="H121" i="4"/>
  <c r="H120" i="4"/>
  <c r="CY120" i="4"/>
  <c r="CX120" i="4"/>
  <c r="CW120" i="4"/>
  <c r="H119" i="4"/>
  <c r="CY119" i="4"/>
  <c r="CX119" i="4"/>
  <c r="CW119" i="4"/>
  <c r="H118" i="4"/>
  <c r="CY118" i="4"/>
  <c r="CX118" i="4"/>
  <c r="CW118" i="4"/>
  <c r="CV118" i="4"/>
  <c r="H117" i="4"/>
  <c r="CY117" i="4"/>
  <c r="CX117" i="4"/>
  <c r="CW117" i="4"/>
  <c r="CV117" i="4"/>
  <c r="H116" i="4"/>
  <c r="CY116" i="4"/>
  <c r="CX116" i="4"/>
  <c r="CW116" i="4"/>
  <c r="CV116" i="4"/>
  <c r="H115" i="4"/>
  <c r="CY115" i="4"/>
  <c r="CX115" i="4"/>
  <c r="CW115" i="4"/>
  <c r="H114" i="4"/>
  <c r="CY114" i="4"/>
  <c r="CX114" i="4"/>
  <c r="CW114" i="4"/>
  <c r="H113" i="4"/>
  <c r="CY113" i="4"/>
  <c r="CX113" i="4"/>
  <c r="CW113" i="4"/>
  <c r="H112" i="4"/>
  <c r="CY112" i="4"/>
  <c r="CX112" i="4"/>
  <c r="CW112" i="4"/>
  <c r="H111" i="4"/>
  <c r="CY111" i="4"/>
  <c r="CX111" i="4"/>
  <c r="CW111" i="4"/>
  <c r="H110" i="4"/>
  <c r="CY110" i="4"/>
  <c r="CX110" i="4"/>
  <c r="CW110" i="4"/>
  <c r="H109" i="4"/>
  <c r="CY109" i="4"/>
  <c r="CX109" i="4"/>
  <c r="CW109" i="4"/>
  <c r="H108" i="4"/>
  <c r="CY108" i="4"/>
  <c r="CX108" i="4"/>
  <c r="CW108" i="4"/>
  <c r="C106" i="4"/>
  <c r="C105" i="4"/>
  <c r="C104" i="4"/>
  <c r="B104" i="4"/>
  <c r="I103" i="4"/>
  <c r="C103" i="4"/>
  <c r="J103" i="4"/>
  <c r="H103" i="4"/>
  <c r="H102" i="4"/>
  <c r="CY102" i="4"/>
  <c r="CX102" i="4"/>
  <c r="CW102" i="4"/>
  <c r="CV102" i="4"/>
  <c r="H101" i="4"/>
  <c r="CY101" i="4"/>
  <c r="CX101" i="4"/>
  <c r="CW101" i="4"/>
  <c r="CV101" i="4"/>
  <c r="H100" i="4"/>
  <c r="CY100" i="4"/>
  <c r="CX100" i="4"/>
  <c r="CW100" i="4"/>
  <c r="CV100" i="4"/>
  <c r="H99" i="4"/>
  <c r="CY99" i="4"/>
  <c r="CX99" i="4"/>
  <c r="CW99" i="4"/>
  <c r="H98" i="4"/>
  <c r="CY98" i="4"/>
  <c r="CX98" i="4"/>
  <c r="CW98" i="4"/>
  <c r="H97" i="4"/>
  <c r="CY97" i="4"/>
  <c r="CX97" i="4"/>
  <c r="CW97" i="4"/>
  <c r="C95" i="4"/>
  <c r="C94" i="4"/>
  <c r="C93" i="4"/>
  <c r="B93" i="4"/>
  <c r="I92" i="4"/>
  <c r="C92" i="4"/>
  <c r="J92" i="4"/>
  <c r="F10" i="1"/>
  <c r="H92" i="4"/>
  <c r="H91" i="4"/>
  <c r="CY91" i="4"/>
  <c r="CX91" i="4"/>
  <c r="CW91" i="4"/>
  <c r="H90" i="4"/>
  <c r="CY90" i="4"/>
  <c r="CX90" i="4"/>
  <c r="CW90" i="4"/>
  <c r="H89" i="4"/>
  <c r="CY89" i="4"/>
  <c r="CX89" i="4"/>
  <c r="CW89" i="4"/>
  <c r="H88" i="4"/>
  <c r="CY88" i="4"/>
  <c r="CX88" i="4"/>
  <c r="CW88" i="4"/>
  <c r="CV88" i="4"/>
  <c r="H87" i="4"/>
  <c r="CY87" i="4"/>
  <c r="CX87" i="4"/>
  <c r="CW87" i="4"/>
  <c r="CV87" i="4"/>
  <c r="H86" i="4"/>
  <c r="CY86" i="4"/>
  <c r="CX86" i="4"/>
  <c r="CW86" i="4"/>
  <c r="CV86" i="4"/>
  <c r="H85" i="4"/>
  <c r="CY85" i="4"/>
  <c r="CX85" i="4"/>
  <c r="CW85" i="4"/>
  <c r="H84" i="4"/>
  <c r="CY84" i="4"/>
  <c r="CX84" i="4"/>
  <c r="CW84" i="4"/>
  <c r="H83" i="4"/>
  <c r="CY83" i="4"/>
  <c r="CX83" i="4"/>
  <c r="CW83" i="4"/>
  <c r="H82" i="4"/>
  <c r="CY82" i="4"/>
  <c r="CX82" i="4"/>
  <c r="CW82" i="4"/>
  <c r="H81" i="4"/>
  <c r="CY81" i="4"/>
  <c r="CX81" i="4"/>
  <c r="CW81" i="4"/>
  <c r="H80" i="4"/>
  <c r="CY80" i="4"/>
  <c r="CX80" i="4"/>
  <c r="CW80" i="4"/>
  <c r="H79" i="4"/>
  <c r="CY79" i="4"/>
  <c r="CX79" i="4"/>
  <c r="CW79" i="4"/>
  <c r="H78" i="4"/>
  <c r="CY78" i="4"/>
  <c r="CX78" i="4"/>
  <c r="CW78" i="4"/>
  <c r="H77" i="4"/>
  <c r="CY77" i="4"/>
  <c r="CX77" i="4"/>
  <c r="CW77" i="4"/>
  <c r="H76" i="4"/>
  <c r="CY76" i="4"/>
  <c r="CX76" i="4"/>
  <c r="CW76" i="4"/>
  <c r="H75" i="4"/>
  <c r="CY75" i="4"/>
  <c r="CX75" i="4"/>
  <c r="CW75" i="4"/>
  <c r="H74" i="4"/>
  <c r="CY74" i="4"/>
  <c r="CX74" i="4"/>
  <c r="CW74" i="4"/>
  <c r="C72" i="4"/>
  <c r="C71" i="4"/>
  <c r="C70" i="4"/>
  <c r="B70" i="4"/>
  <c r="I69" i="4"/>
  <c r="C69" i="4"/>
  <c r="J69" i="4"/>
  <c r="H69" i="4"/>
  <c r="H68" i="4"/>
  <c r="CY68" i="4"/>
  <c r="CX68" i="4"/>
  <c r="CW68" i="4"/>
  <c r="CV68" i="4"/>
  <c r="H67" i="4"/>
  <c r="CY67" i="4"/>
  <c r="CX67" i="4"/>
  <c r="CW67" i="4"/>
  <c r="CV67" i="4"/>
  <c r="H66" i="4"/>
  <c r="CY66" i="4"/>
  <c r="CX66" i="4"/>
  <c r="CW66" i="4"/>
  <c r="CV66" i="4"/>
  <c r="H65" i="4"/>
  <c r="CY65" i="4"/>
  <c r="CX65" i="4"/>
  <c r="CW65" i="4"/>
  <c r="H64" i="4"/>
  <c r="CY64" i="4"/>
  <c r="CX64" i="4"/>
  <c r="CW64" i="4"/>
  <c r="H63" i="4"/>
  <c r="CY63" i="4"/>
  <c r="CX63" i="4"/>
  <c r="CW63" i="4"/>
  <c r="C61" i="4"/>
  <c r="C60" i="4"/>
  <c r="C59" i="4"/>
  <c r="B59" i="4"/>
  <c r="I58" i="4"/>
  <c r="C58" i="4"/>
  <c r="J58" i="4"/>
  <c r="F7" i="1"/>
  <c r="H58" i="4"/>
  <c r="H57" i="4"/>
  <c r="CY57" i="4"/>
  <c r="CX57" i="4"/>
  <c r="CW57" i="4"/>
  <c r="H56" i="4"/>
  <c r="CY56" i="4"/>
  <c r="CX56" i="4"/>
  <c r="CW56" i="4"/>
  <c r="H55" i="4"/>
  <c r="CY55" i="4"/>
  <c r="CX55" i="4"/>
  <c r="CW55" i="4"/>
  <c r="H54" i="4"/>
  <c r="CY54" i="4"/>
  <c r="CX54" i="4"/>
  <c r="CW54" i="4"/>
  <c r="CV54" i="4"/>
  <c r="H53" i="4"/>
  <c r="CY53" i="4"/>
  <c r="CX53" i="4"/>
  <c r="CW53" i="4"/>
  <c r="CV53" i="4"/>
  <c r="H52" i="4"/>
  <c r="CY52" i="4"/>
  <c r="CX52" i="4"/>
  <c r="CW52" i="4"/>
  <c r="CV52" i="4"/>
  <c r="H51" i="4"/>
  <c r="CY51" i="4"/>
  <c r="CX51" i="4"/>
  <c r="CW51" i="4"/>
  <c r="H50" i="4"/>
  <c r="CY50" i="4"/>
  <c r="CX50" i="4"/>
  <c r="CW50" i="4"/>
  <c r="H49" i="4"/>
  <c r="CY49" i="4"/>
  <c r="CX49" i="4"/>
  <c r="CW49" i="4"/>
  <c r="H48" i="4"/>
  <c r="CY48" i="4"/>
  <c r="CX48" i="4"/>
  <c r="CW48" i="4"/>
  <c r="H47" i="4"/>
  <c r="CY47" i="4"/>
  <c r="CX47" i="4"/>
  <c r="CW47" i="4"/>
  <c r="H46" i="4"/>
  <c r="CY46" i="4"/>
  <c r="CX46" i="4"/>
  <c r="CW46" i="4"/>
  <c r="H45" i="4"/>
  <c r="CY45" i="4"/>
  <c r="CX45" i="4"/>
  <c r="CW45" i="4"/>
  <c r="H44" i="4"/>
  <c r="CY44" i="4"/>
  <c r="CX44" i="4"/>
  <c r="CW44" i="4"/>
  <c r="H43" i="4"/>
  <c r="CY43" i="4"/>
  <c r="CX43" i="4"/>
  <c r="CW43" i="4"/>
  <c r="H42" i="4"/>
  <c r="CY42" i="4"/>
  <c r="CX42" i="4"/>
  <c r="CW42" i="4"/>
  <c r="H41" i="4"/>
  <c r="CY41" i="4"/>
  <c r="CX41" i="4"/>
  <c r="CW41" i="4"/>
  <c r="H40" i="4"/>
  <c r="CY40" i="4"/>
  <c r="CX40" i="4"/>
  <c r="CW40" i="4"/>
  <c r="H39" i="4"/>
  <c r="CY39" i="4"/>
  <c r="CX39" i="4"/>
  <c r="CW39" i="4"/>
  <c r="H38" i="4"/>
  <c r="CY38" i="4"/>
  <c r="CX38" i="4"/>
  <c r="CW38" i="4"/>
  <c r="H37" i="4"/>
  <c r="CY37" i="4"/>
  <c r="CX37" i="4"/>
  <c r="CW37" i="4"/>
  <c r="H36" i="4"/>
  <c r="CY36" i="4"/>
  <c r="CX36" i="4"/>
  <c r="CW36" i="4"/>
  <c r="H35" i="4"/>
  <c r="CY35" i="4"/>
  <c r="CX35" i="4"/>
  <c r="CW35" i="4"/>
  <c r="H34" i="4"/>
  <c r="CY34" i="4"/>
  <c r="CX34" i="4"/>
  <c r="CW34" i="4"/>
  <c r="H33" i="4"/>
  <c r="CY33" i="4"/>
  <c r="CX33" i="4"/>
  <c r="CW33" i="4"/>
  <c r="H32" i="4"/>
  <c r="CY32" i="4"/>
  <c r="CX32" i="4"/>
  <c r="CW32" i="4"/>
  <c r="H31" i="4"/>
  <c r="CY31" i="4"/>
  <c r="CX31" i="4"/>
  <c r="CW31" i="4"/>
  <c r="C29" i="4"/>
  <c r="C28" i="4"/>
  <c r="C27" i="4"/>
  <c r="B27" i="4"/>
  <c r="I26" i="4"/>
  <c r="C26" i="4"/>
  <c r="J26" i="4"/>
  <c r="H26" i="4"/>
  <c r="H25" i="4"/>
  <c r="CY25" i="4"/>
  <c r="CX25" i="4"/>
  <c r="CW25" i="4"/>
  <c r="CV25" i="4"/>
  <c r="H24" i="4"/>
  <c r="CY24" i="4"/>
  <c r="CX24" i="4"/>
  <c r="CW24" i="4"/>
  <c r="CV24" i="4"/>
  <c r="H23" i="4"/>
  <c r="CY23" i="4"/>
  <c r="CX23" i="4"/>
  <c r="CW23" i="4"/>
  <c r="CV23" i="4"/>
  <c r="H22" i="4"/>
  <c r="CY22" i="4"/>
  <c r="CX22" i="4"/>
  <c r="CW22" i="4"/>
  <c r="H21" i="4"/>
  <c r="CY21" i="4"/>
  <c r="CX21" i="4"/>
  <c r="CW21" i="4"/>
  <c r="H20" i="4"/>
  <c r="CY20" i="4"/>
  <c r="CX20" i="4"/>
  <c r="CW20" i="4"/>
  <c r="C18" i="4"/>
  <c r="C17" i="4"/>
  <c r="C16" i="4"/>
  <c r="B16" i="4"/>
  <c r="I15" i="4"/>
  <c r="C15" i="4"/>
  <c r="J15" i="4"/>
  <c r="F4" i="1"/>
  <c r="H15" i="4"/>
  <c r="H14" i="4"/>
  <c r="CY14" i="4"/>
  <c r="CV14" i="4"/>
  <c r="C12" i="4"/>
  <c r="C11" i="4"/>
  <c r="C10" i="4"/>
  <c r="B10" i="4"/>
  <c r="I9" i="4"/>
  <c r="C9" i="4"/>
  <c r="J9" i="4"/>
  <c r="H9" i="4"/>
  <c r="H8" i="4"/>
  <c r="CY8" i="4"/>
  <c r="CV8" i="4"/>
  <c r="C6" i="4"/>
  <c r="C5" i="4"/>
  <c r="C4" i="4"/>
  <c r="B4" i="4"/>
</calcChain>
</file>

<file path=xl/sharedStrings.xml><?xml version="1.0" encoding="utf-8"?>
<sst xmlns="http://schemas.openxmlformats.org/spreadsheetml/2006/main" count="2852" uniqueCount="515">
  <si>
    <t>Tariffa</t>
  </si>
  <si>
    <t>Prezzo</t>
  </si>
  <si>
    <t>DESCRIZIONE dell'ARTICOLO</t>
  </si>
  <si>
    <t>unità di misura</t>
  </si>
  <si>
    <t>Nr</t>
  </si>
  <si>
    <t>DESIGNAZIONE dei LAVORI</t>
  </si>
  <si>
    <t>par. ug.</t>
  </si>
  <si>
    <t>lung.</t>
  </si>
  <si>
    <t>larg.</t>
  </si>
  <si>
    <t>H/peso</t>
  </si>
  <si>
    <t>Quantità</t>
  </si>
  <si>
    <t>unitario</t>
  </si>
  <si>
    <t>TOTALE</t>
  </si>
  <si>
    <t>Importo</t>
  </si>
  <si>
    <t>Autore</t>
  </si>
  <si>
    <t>Nome del progetto</t>
  </si>
  <si>
    <t>Indirizzo</t>
  </si>
  <si>
    <t>Stato del progetto</t>
  </si>
  <si>
    <t>Nome del cliente</t>
  </si>
  <si>
    <t>Nome edificio</t>
  </si>
  <si>
    <t>Nome organizzazione</t>
  </si>
  <si>
    <t>Descrizione tariffario</t>
  </si>
  <si>
    <t>Super Categorie</t>
  </si>
  <si>
    <t>Categorie</t>
  </si>
  <si>
    <t>Sub Categorie</t>
  </si>
  <si>
    <t>C o m p u t o   m e t r i c o   g e n e r a t o   d a   A r c h V I S I O N   O F F I C E   f o r   R E V I T</t>
  </si>
  <si>
    <t>D I M E N S I O N I</t>
  </si>
  <si>
    <t>I M P O R T I</t>
  </si>
  <si>
    <t>R A G R U P P A M E N T I  / C A T E G O R I E</t>
  </si>
  <si>
    <t>W B S</t>
  </si>
  <si>
    <t>E l e n c o   p r e z z i   g e n e r a t o   d a   A r c h V I S I O N   O F F I C E   f o r   R E V I T</t>
  </si>
  <si>
    <t>S O M M A R I O</t>
  </si>
  <si>
    <t>D a t i   G e n e r a l i</t>
  </si>
  <si>
    <t>Autore del progetto e titolare dell'impresa Palazzi e Palazzi</t>
  </si>
  <si>
    <t>Comune di:</t>
  </si>
  <si>
    <t>Provincia di:</t>
  </si>
  <si>
    <t>Intervento SuperBonus 110% approvato</t>
  </si>
  <si>
    <t>Committente Palazzi e Palazzi</t>
  </si>
  <si>
    <t>Impresa Palazzi e Palazzi</t>
  </si>
  <si>
    <t>Palazzo sottoposto a efficientamento energetico</t>
  </si>
  <si>
    <t>100.100</t>
  </si>
  <si>
    <t>Intonaco beige per soletta</t>
  </si>
  <si>
    <t>m3</t>
  </si>
  <si>
    <t>100.101</t>
  </si>
  <si>
    <t>Intonaco bianco</t>
  </si>
  <si>
    <t>100.102</t>
  </si>
  <si>
    <t>Mattone forato</t>
  </si>
  <si>
    <t>100.103</t>
  </si>
  <si>
    <t>Mattone comune rosso</t>
  </si>
  <si>
    <t>100.104</t>
  </si>
  <si>
    <t>Laterizio per tramezzo</t>
  </si>
  <si>
    <t>100.105</t>
  </si>
  <si>
    <t>Intonaco beige</t>
  </si>
  <si>
    <t>100.106</t>
  </si>
  <si>
    <t>Laterizio per pavimento</t>
  </si>
  <si>
    <t>100.110</t>
  </si>
  <si>
    <t>Tinteggiatura con idropittura traspirante escluse da detrazioni superbonus 110%</t>
  </si>
  <si>
    <t>Tinteggiatura con idropittura di superfici a tre mani a coprire, esclusa la preparazione delle stesse: su superfici esterne: con idropittura traspirante escluse da detrazioni</t>
  </si>
  <si>
    <t>m2</t>
  </si>
  <si>
    <t>200.101</t>
  </si>
  <si>
    <t>Isolamento rigido</t>
  </si>
  <si>
    <t>200.103</t>
  </si>
  <si>
    <t>Cappotto esterno per isolamento escluso d adetrazioni superboonus 110%</t>
  </si>
  <si>
    <t>Cappotto esterno per isolamento superboonus 110%</t>
  </si>
  <si>
    <t>300.101</t>
  </si>
  <si>
    <t>Ceramica bianca per pavimetazione</t>
  </si>
  <si>
    <t>350.001</t>
  </si>
  <si>
    <t>Zoccolino in plastica effetto legno</t>
  </si>
  <si>
    <t>m</t>
  </si>
  <si>
    <t>400.000</t>
  </si>
  <si>
    <t>Estintore a schiuma rosso</t>
  </si>
  <si>
    <t>Cad. Uno</t>
  </si>
  <si>
    <t>400.001</t>
  </si>
  <si>
    <t>Manichetta anticendio a bobina</t>
  </si>
  <si>
    <t>400.002</t>
  </si>
  <si>
    <t>Estintore a polvere da parete</t>
  </si>
  <si>
    <t>500.101</t>
  </si>
  <si>
    <t>Letto di sabbia e cemento</t>
  </si>
  <si>
    <t>550.001</t>
  </si>
  <si>
    <t>Distributore automatico alimetari</t>
  </si>
  <si>
    <t>550.002</t>
  </si>
  <si>
    <t>Distributore automatico bevande e caffè</t>
  </si>
  <si>
    <t>550.101</t>
  </si>
  <si>
    <t>Cemento per pavimentazioni</t>
  </si>
  <si>
    <t>580.001</t>
  </si>
  <si>
    <t>Pannellatura per controsoffitto spesso 5 cm</t>
  </si>
  <si>
    <t>600.001</t>
  </si>
  <si>
    <t>Sedia per impiegati</t>
  </si>
  <si>
    <t>600.002</t>
  </si>
  <si>
    <t>Tavolino per impiegati</t>
  </si>
  <si>
    <t>600.003</t>
  </si>
  <si>
    <t>Tavolino direzionale per sale riunioni</t>
  </si>
  <si>
    <t>600.004</t>
  </si>
  <si>
    <t>Sedia direzionale o per dipendenti</t>
  </si>
  <si>
    <t>650.001</t>
  </si>
  <si>
    <t>Postazione desk per cassa al pubblico</t>
  </si>
  <si>
    <t>650.002</t>
  </si>
  <si>
    <t>Banco per cassa incluso nella postazione desk per cassa al pubblico</t>
  </si>
  <si>
    <t>650.003</t>
  </si>
  <si>
    <t>Fianco laterale incluso nella postazione desk per cassa al pubblico</t>
  </si>
  <si>
    <t>650.004</t>
  </si>
  <si>
    <t>Armadio per ufficio tipo 1</t>
  </si>
  <si>
    <t>650.005</t>
  </si>
  <si>
    <t>Mobiletto con 3 scaffali</t>
  </si>
  <si>
    <t>650.006</t>
  </si>
  <si>
    <t>Armadio per ufficio tipo 2</t>
  </si>
  <si>
    <t>650.007</t>
  </si>
  <si>
    <t>Armadio per ufficio tipo 3</t>
  </si>
  <si>
    <t>651.001</t>
  </si>
  <si>
    <t>Cassettiera mobile con ruote</t>
  </si>
  <si>
    <t>652.001</t>
  </si>
  <si>
    <t>Tavolino basso con vetro</t>
  </si>
  <si>
    <t>660.001</t>
  </si>
  <si>
    <t>Pavimentazione per magazzino</t>
  </si>
  <si>
    <t>660.002</t>
  </si>
  <si>
    <t>Pavimentazione per locale tecnico</t>
  </si>
  <si>
    <t>660.003</t>
  </si>
  <si>
    <t>Pavimentazione per servizi tecnici</t>
  </si>
  <si>
    <t>660.004</t>
  </si>
  <si>
    <t>Pavimentazione per uffici</t>
  </si>
  <si>
    <t>660.005</t>
  </si>
  <si>
    <t>Pavimentazione per zona casseforti</t>
  </si>
  <si>
    <t>660.006</t>
  </si>
  <si>
    <t>Pavimentazione zona ingresso</t>
  </si>
  <si>
    <t>660.806</t>
  </si>
  <si>
    <t>Pavimentazione zona bancomat</t>
  </si>
  <si>
    <t>660.808</t>
  </si>
  <si>
    <t>Pavimentazione area principale</t>
  </si>
  <si>
    <t>660.809</t>
  </si>
  <si>
    <t>Pavimentazione disimpegni</t>
  </si>
  <si>
    <t>670.001</t>
  </si>
  <si>
    <t>Poster pubblicitario con logo aziendale</t>
  </si>
  <si>
    <t>700.101</t>
  </si>
  <si>
    <t>Porta 80 X 210 completa ed inclusa di trasporto e posa</t>
  </si>
  <si>
    <t>Cad. uno</t>
  </si>
  <si>
    <t>700.102</t>
  </si>
  <si>
    <t>Porta 100 X 210 completa ed inclusa di trasporto e posa</t>
  </si>
  <si>
    <t>700.103</t>
  </si>
  <si>
    <t>Porta scorrevole completa di vetri incluso trasporto e posa</t>
  </si>
  <si>
    <t>700.104</t>
  </si>
  <si>
    <t>Porta scorrevole inclusa nella facciata continua per ufficio</t>
  </si>
  <si>
    <t>700.105</t>
  </si>
  <si>
    <t>Porta a doppia anta per ingresso principale</t>
  </si>
  <si>
    <t>700.106</t>
  </si>
  <si>
    <t>Porta a doppia anta di servizio grande</t>
  </si>
  <si>
    <t>700.107</t>
  </si>
  <si>
    <t>Porta a doppia anta di servizio piccola</t>
  </si>
  <si>
    <t>750.001</t>
  </si>
  <si>
    <t>Scavo per acque reflue</t>
  </si>
  <si>
    <t>750.002</t>
  </si>
  <si>
    <t>Posa tubazione per acque reflue</t>
  </si>
  <si>
    <t>750.003</t>
  </si>
  <si>
    <t>Tubazione diametro 40 mm per aque reflue</t>
  </si>
  <si>
    <t>770.001</t>
  </si>
  <si>
    <t>Noleggio giornaliero escavatore movimento terra</t>
  </si>
  <si>
    <t>800.001</t>
  </si>
  <si>
    <t>Finestra posa e trasporto</t>
  </si>
  <si>
    <t>800.002</t>
  </si>
  <si>
    <t>Finestra (lato sinistro dell'edificio)</t>
  </si>
  <si>
    <t>800.003</t>
  </si>
  <si>
    <t>Finestra (lato destro dell'edificio)</t>
  </si>
  <si>
    <t>800.004</t>
  </si>
  <si>
    <t>Telaio finestre</t>
  </si>
  <si>
    <t>850.001</t>
  </si>
  <si>
    <t>Pannello in vetro per facciata continua</t>
  </si>
  <si>
    <t>860.001</t>
  </si>
  <si>
    <t>Montaggio struttura invetriata facciata continua</t>
  </si>
  <si>
    <t>860.002</t>
  </si>
  <si>
    <t>Facciata continua completa di porta scorrevole per ufficio interno</t>
  </si>
  <si>
    <t>900.001</t>
  </si>
  <si>
    <t>Passerella elettrica con pioli</t>
  </si>
  <si>
    <t>900.002</t>
  </si>
  <si>
    <t>Raccordo passerella con pioli e con raggio 300 mm</t>
  </si>
  <si>
    <t>900.003</t>
  </si>
  <si>
    <t>Curva orizzontale per passerella a pioli 100x50</t>
  </si>
  <si>
    <t>900.004</t>
  </si>
  <si>
    <t>Curvatura verticale per passerella a pioli 100x50</t>
  </si>
  <si>
    <t>910.001</t>
  </si>
  <si>
    <t>Quadro elettrico 380v per gestione bancomat</t>
  </si>
  <si>
    <t>920.001</t>
  </si>
  <si>
    <t>Gomito tubo protettivo 27 mm</t>
  </si>
  <si>
    <t>921.001</t>
  </si>
  <si>
    <t>Scatola di derivazione elettrica</t>
  </si>
  <si>
    <t>930.001</t>
  </si>
  <si>
    <t>Tubo protettivo in PVC per impianto Bancomat</t>
  </si>
  <si>
    <t>950.001</t>
  </si>
  <si>
    <t>Condotta zona bancomat - Sviluppo lamiera Sezioni 225x225</t>
  </si>
  <si>
    <t>950.002</t>
  </si>
  <si>
    <t>Condotta zona bancomat - Sviluppo lamiera Sezioni 325x325</t>
  </si>
  <si>
    <t>950.003</t>
  </si>
  <si>
    <t>Condotta zona bancomat - Sviluppo lamiera Sezioni 375x375</t>
  </si>
  <si>
    <t>951.001</t>
  </si>
  <si>
    <t>Bochettoni per aria di mandata zona bancomat</t>
  </si>
  <si>
    <t>952.001</t>
  </si>
  <si>
    <t>Gomito condotto rettangolare 300 x 300 zona bancomat</t>
  </si>
  <si>
    <t>952.002</t>
  </si>
  <si>
    <t>Transizione condotto rettangolare 15° zona bancomat</t>
  </si>
  <si>
    <t>952.003</t>
  </si>
  <si>
    <t>Raccordo a T per condotto rettangolare zona bancomat</t>
  </si>
  <si>
    <t>952.004</t>
  </si>
  <si>
    <t>UTA - Azionamento diretto per zona bancomat</t>
  </si>
  <si>
    <t>970.101</t>
  </si>
  <si>
    <t>Bancomat completo di trasporto e posa</t>
  </si>
  <si>
    <t>980.001</t>
  </si>
  <si>
    <t>Sanitari - Lavandino</t>
  </si>
  <si>
    <t>980.002</t>
  </si>
  <si>
    <t>Sanitari - WC</t>
  </si>
  <si>
    <t>980.003</t>
  </si>
  <si>
    <t>Sanitari - Bidet</t>
  </si>
  <si>
    <t>981.002</t>
  </si>
  <si>
    <t>Tubazione scarico - 32mm</t>
  </si>
  <si>
    <t>981.003</t>
  </si>
  <si>
    <t>Tubazione scarico - 40mm</t>
  </si>
  <si>
    <t>981.004</t>
  </si>
  <si>
    <t>Tubazione scarico - 100mm</t>
  </si>
  <si>
    <t>981.008</t>
  </si>
  <si>
    <t>Gomito per tubazione scarico - 32mm</t>
  </si>
  <si>
    <t>981.009</t>
  </si>
  <si>
    <t>Gomito per tubazione scarico - 40mm</t>
  </si>
  <si>
    <t>981.010</t>
  </si>
  <si>
    <t>Gomito per tubazione scarico - 100mm</t>
  </si>
  <si>
    <t>990.001</t>
  </si>
  <si>
    <t>Terreno di riporto</t>
  </si>
  <si>
    <t>991.000</t>
  </si>
  <si>
    <t>Montanti per facciata continua</t>
  </si>
  <si>
    <t>991.001</t>
  </si>
  <si>
    <t>Pannelli scuri per facciata continua</t>
  </si>
  <si>
    <t>NP 0001</t>
  </si>
  <si>
    <t>Gruppo composto da tavolo direzionale con sedia</t>
  </si>
  <si>
    <t>NP 001.100</t>
  </si>
  <si>
    <t>Fornitura a corpo gruppo apparecchi idraulici per bagni composto da Lavandino WC e Bidet</t>
  </si>
  <si>
    <t>Pavimento piano terra - Sc: Nessuna</t>
  </si>
  <si>
    <t>Nessuna</t>
  </si>
  <si>
    <t>SuperBonus 110% (da verificare)</t>
  </si>
  <si>
    <t>Non Assegnata</t>
  </si>
  <si>
    <t>M I S U R A Z I O N I :</t>
  </si>
  <si>
    <t>Pavimenti: Pavimento latero cementizio 30cm - (IdEnt: 220327)</t>
  </si>
  <si>
    <t>Soffitto piano terra - Sc: Nessuna</t>
  </si>
  <si>
    <t>Pavimenti: Pavimento latero cementizio 30cm - (IdEnt: 499771)</t>
  </si>
  <si>
    <t>Pavimento piano primo - Sc: Nessuna</t>
  </si>
  <si>
    <t>Muro di Base: Portante Esterno 43cm - (IdEnt: 499937)</t>
  </si>
  <si>
    <t>Muro di Base: Portante Esterno 43cm - (IdEnt: 499936)</t>
  </si>
  <si>
    <t>Muro di Base: Portante Esterno 43cm - (IdEnt: 499935)</t>
  </si>
  <si>
    <t>a detrarre Finestra - 1 Anta: 90x150cm - (IdEnt: 575552) (Id Muro: 499935)</t>
  </si>
  <si>
    <t>a detrarre Finestra - 1 Anta: 90x150cm - (IdEnt: 575620) (Id Muro: 499937)</t>
  </si>
  <si>
    <t>a detrarre Finestra - 1 Anta: 90x150cm - (IdEnt: 575553) (Id Muro: 499935)</t>
  </si>
  <si>
    <t>Muro di Base: Tramezza 15cm - (IdEnt: 216290)</t>
  </si>
  <si>
    <t>Muro di Base: Tramezza 15cm - (IdEnt: 215696)</t>
  </si>
  <si>
    <t>Muro di Base: Tramezza 15cm - (IdEnt: 231007)</t>
  </si>
  <si>
    <t>Muro di Base: Tramezza 15cm - (IdEnt: 215436)</t>
  </si>
  <si>
    <t>Muro di Base: Tramezza 15cm - (IdEnt: 215876)</t>
  </si>
  <si>
    <t>Muro di Base: Tramezza 15cm - (IdEnt: 215783)</t>
  </si>
  <si>
    <t>Muro di Base: Tramezza 15cm - (IdEnt: 215985)</t>
  </si>
  <si>
    <t>Muro di Base: Tramezza 15cm - (IdEnt: 215814)</t>
  </si>
  <si>
    <t>Muro di Base: Tramezza 15cm - (IdEnt: 215571)</t>
  </si>
  <si>
    <t>Muro di Base: Tramezza 10cm - (IdEnt: 270803)</t>
  </si>
  <si>
    <t>Muro di Base: Tramezza 10cm - (IdEnt: 270802)</t>
  </si>
  <si>
    <t>Muro di Base: Tramezza 10cm - (IdEnt: 268963)</t>
  </si>
  <si>
    <t>Muro di Base: Tramezza 10cm - (IdEnt: 268856)</t>
  </si>
  <si>
    <t>Muro di Base: Portante Interno 27cm - (IdEnt: 231067)</t>
  </si>
  <si>
    <t>Muro di Base: Portante Interno 27cm - (IdEnt: 231190)</t>
  </si>
  <si>
    <t>Muro di Base: Portante Interno 27cm - (IdEnt: 233881)</t>
  </si>
  <si>
    <t>Muro di Base: Portante Interno 27cm - (IdEnt: 233743)</t>
  </si>
  <si>
    <t>Muro di Base: Portante Interno 27cm - (IdEnt: 230334)</t>
  </si>
  <si>
    <t>Muro di Base: Portante Esterno 43cm - (IdEnt: 338136)</t>
  </si>
  <si>
    <t>Muro di Base: Portante Esterno 43cm - (IdEnt: 337877)</t>
  </si>
  <si>
    <t>Muro di Base: Portante Esterno 43cm - (IdEnt: 338045)</t>
  </si>
  <si>
    <t>a detrarre Finestra - 1 Anta: 90x150cm - (IdEnt: 505942) (Id Muro: 337877)</t>
  </si>
  <si>
    <t>a detrarre Finestra - 1 Anta: 90x150cm - (IdEnt: 503222) (Id Muro: 337877)</t>
  </si>
  <si>
    <t>a detrarre Finestra - 1 Anta: 90x150cm - (IdEnt: 505974) (Id Muro: 338136)</t>
  </si>
  <si>
    <t>a detrarre Scorrevole - Vetro: 100 x 210 cm - (IdEnt: 219114) (Id Muro: 215696)</t>
  </si>
  <si>
    <t>a detrarre Schueco_ADS-70-HD_out-aft_Family-02: Type 1 - (IdEnt: 508896) (Id Muro: 338045)</t>
  </si>
  <si>
    <t>a detrarre Schueco_ADS-70-HD_out-aft_Family-02: Type 1 - (IdEnt: 517291) (Id Muro: 338045)</t>
  </si>
  <si>
    <t>0,43-0,03</t>
  </si>
  <si>
    <t>0,15-0,03</t>
  </si>
  <si>
    <t>0,27-0,03</t>
  </si>
  <si>
    <t>0,1-0,03</t>
  </si>
  <si>
    <t>Pavimento piano primo - Sc: Superbonus 110%</t>
  </si>
  <si>
    <t>Esterni</t>
  </si>
  <si>
    <t>Intervento di via Italia</t>
  </si>
  <si>
    <t>Tinteggiature con idropitture di superfici a tre mani a coprire per esterni escluse da detrazioni</t>
  </si>
  <si>
    <t>Pavimento piano terra - Sc: Superbonus 110%</t>
  </si>
  <si>
    <t>Muro di Base: Portante Esterno 43cm (IdEnt: -50)</t>
  </si>
  <si>
    <t>a detrarre Finestra - 1 Anta: 90x150cm - (IdEnt: 575553)</t>
  </si>
  <si>
    <t>a detrarre Finestra - 1 Anta: 90x150cm - (IdEnt: 575552)</t>
  </si>
  <si>
    <t>a detrarre Finestra - 1 Anta: 90x150cm - (IdEnt: 575620)</t>
  </si>
  <si>
    <t>Muro di Base: Portante Esterno 43cm (IdEnt: -283)</t>
  </si>
  <si>
    <t>a detrarre Finestra - 1 Anta: 90x150cm - (IdEnt: 505942)</t>
  </si>
  <si>
    <t>a detrarre Finestra - 1 Anta: 90x150cm - (IdEnt: 503222)</t>
  </si>
  <si>
    <t>a detrarre Finestra - 1 Anta: 90x150cm - (IdEnt: 505974)</t>
  </si>
  <si>
    <t>a detrarre Schueco_ADS-70-HD_out-aft_Family-02: Type 1 - (IdEnt: 517291)</t>
  </si>
  <si>
    <t>a detrarre Schueco_ADS-70-HD_out-aft_Family-02: Type 1 - (IdEnt: 508896)</t>
  </si>
  <si>
    <t>Cappotto esterno per isolamento superboonus 110% escluso dalle detrazioni</t>
  </si>
  <si>
    <t>Zoccolini in plastica effetto legno</t>
  </si>
  <si>
    <t>Muro di Base: Portante Esterno 43cm (IdEnt: -59)</t>
  </si>
  <si>
    <t>Muro di Base: Portante Esterno 43cm (IdEnt: -295)</t>
  </si>
  <si>
    <t>2.1.1.1.1</t>
  </si>
  <si>
    <t>Estintore C02: Rosso a schiuma - (IdEnt: 566008)</t>
  </si>
  <si>
    <t>2.1.1.2.1</t>
  </si>
  <si>
    <t>Estintore C02: Rosso a schiuma - (IdEnt: 565500)</t>
  </si>
  <si>
    <t>1.1.1.1.1</t>
  </si>
  <si>
    <t>Estintore C02: Rosso a schiuma - (IdEnt: 563272)</t>
  </si>
  <si>
    <t>1.1.1.2.1</t>
  </si>
  <si>
    <t>Estintore C02: Rosso a schiuma - (IdEnt: 563385)</t>
  </si>
  <si>
    <t>1.1.1.2.2</t>
  </si>
  <si>
    <t>Estintore C02: Rosso a schiuma - (IdEnt: 563500)</t>
  </si>
  <si>
    <t>2.1.1.1.3</t>
  </si>
  <si>
    <t>M_Cassetta con manichetta a bobina - Su superficie: 25 mm - (IdEnt: 566292)</t>
  </si>
  <si>
    <t>2.1.1.2.3</t>
  </si>
  <si>
    <t>M_Cassetta con manichetta a bobina - Su superficie: 25 mm - (IdEnt: 566497)</t>
  </si>
  <si>
    <t>1.1.1.1.3</t>
  </si>
  <si>
    <t>M_Cassetta con manichetta a bobina - Su superficie: 25 mm - (IdEnt: 565147)</t>
  </si>
  <si>
    <t>M_Cassetta con manichetta a bobina - Su superficie: 25 mm - (IdEnt: 558791)</t>
  </si>
  <si>
    <t>1.1.1.2.3</t>
  </si>
  <si>
    <t>M_Cassetta con manichetta a bobina - Su superficie: 25 mm - (IdEnt: 564837)</t>
  </si>
  <si>
    <t>1.2.1.1.3</t>
  </si>
  <si>
    <t>M_Cassetta con manichetta a bobina - Su superficie: 25 mm - (IdEnt: 571438)</t>
  </si>
  <si>
    <t>2.1.1.1.2</t>
  </si>
  <si>
    <t>Estintore C02: Rosso - (IdEnt: 565974)</t>
  </si>
  <si>
    <t>2.1.1.2.2</t>
  </si>
  <si>
    <t>Estintore C02: Rosso - (IdEnt: 562950)</t>
  </si>
  <si>
    <t>1.1.1.1.2</t>
  </si>
  <si>
    <t>Estintore C02: Rosso - (IdEnt: 562711)</t>
  </si>
  <si>
    <t>1.2.1.1.2</t>
  </si>
  <si>
    <t>Estintore C02: Rosso - (IdEnt: 558790)</t>
  </si>
  <si>
    <t>1.2.1.2.1</t>
  </si>
  <si>
    <t>Estintore C02: Rosso - (IdEnt: 565565)</t>
  </si>
  <si>
    <t>1.2.1.2.2</t>
  </si>
  <si>
    <t>Estintore C02: Rosso - (IdEnt: 563024)</t>
  </si>
  <si>
    <t>Estintore C02: Rosso - (IdEnt: 562743)</t>
  </si>
  <si>
    <t>Distributore automatico - Caramelle: Distributore automatico - Caramelle - (IdEnt: 520936)</t>
  </si>
  <si>
    <t>Distributore automatico - Caramelle: Distributore automatico - Caramelle - (IdEnt: 518098)</t>
  </si>
  <si>
    <t>Distributore automatico - Bibite: Distributore di bevande - (IdEnt: 518097)</t>
  </si>
  <si>
    <t>Distributore automatico - Bibite: Distributore di bevande - (IdEnt: 521106)</t>
  </si>
  <si>
    <t>Controsoffitti: Controsoffitto con pannellatura - (IdEnt: 220364)</t>
  </si>
  <si>
    <t>Esempio famiglia nidificata - Seggiola: Seggiola (IdEnt: -319)</t>
  </si>
  <si>
    <t>Esempio famiglia nidificata - Tavolino: Tavolino 60 x 30 (IdEnt: -335)</t>
  </si>
  <si>
    <t>Tavolo riunioni con sedie: 240 x 120cm (IdEnt: -344)</t>
  </si>
  <si>
    <t>FUR_Haworth_Chair_Zody-Task: Sedia direzionale o per dipendenti (IdEnt: -345)</t>
  </si>
  <si>
    <t>Gruppi di modello: Desk per casse al pubblico - (IdEnt: 213422)</t>
  </si>
  <si>
    <t>FUR_BPER_Cash Desk_TypeA: Banco per cassa (IdEnt: -355)</t>
  </si>
  <si>
    <t>FUR_BPER_Divisore_TypeA: Parete laterale divisore banco per cassa (IdEnt: -360)</t>
  </si>
  <si>
    <t>Haworth_XSeries-Active-Bookcase: Armadio per ufficio tipo 1 (IdEnt: -366)</t>
  </si>
  <si>
    <t>Haworth_XSeries-Storage_Cabinet: Mobiletto con 3 scaffali (IdEnt: -369)</t>
  </si>
  <si>
    <t>Haworth_XSeries-Active-Credenza: Armadio per ufficio tipo 2 (IdEnt: -373)</t>
  </si>
  <si>
    <t>Haworth_Compose-Storage-Overhead: Armadio per ufficio tipo 3 (IdEnt: -381)</t>
  </si>
  <si>
    <t>Haworth_XSeries-Mobile_Pedestal: Cassettiera mobile con ruote (IdEnt: -383)</t>
  </si>
  <si>
    <t>FUR_Desk: Tavolino basso con vetro (IdEnt: -394)</t>
  </si>
  <si>
    <t>Locali: Magazzino Fascicoli - (IdEnt: 271741)</t>
  </si>
  <si>
    <t>Locali: Magazzino - (IdEnt: 271751)</t>
  </si>
  <si>
    <t>Locali: Tecnico 2 - (IdEnt: 271743)</t>
  </si>
  <si>
    <t>Locali: Tecnico - (IdEnt: 271745)</t>
  </si>
  <si>
    <t>Locali: Servizio 2 - (IdEnt: 271747)</t>
  </si>
  <si>
    <t>Locali: Servizio - (IdEnt: 271749)</t>
  </si>
  <si>
    <t>Locali: Ufficio - (IdEnt: 271731)</t>
  </si>
  <si>
    <t>Locali: Ufficio - (IdEnt: 271729)</t>
  </si>
  <si>
    <t>Locali: Ufficio - (IdEnt: 271735)</t>
  </si>
  <si>
    <t>Locali: Ufficio - (IdEnt: 271733)</t>
  </si>
  <si>
    <t>Locali: Casseforti - (IdEnt: 271753)</t>
  </si>
  <si>
    <t>Locali: Ingresso - (IdEnt: 271723)</t>
  </si>
  <si>
    <t>Locali: Bancomat / Cassa C - (IdEnt: 271755)</t>
  </si>
  <si>
    <t>Locali: Principale - (IdEnt: 271725)</t>
  </si>
  <si>
    <t>Locali: Disimpegno - (IdEnt: 271739)</t>
  </si>
  <si>
    <t>Locali: Disimpegno - (IdEnt: 271737)</t>
  </si>
  <si>
    <t>Entità non collegate a Livello o Piano - Sc: Nessuna</t>
  </si>
  <si>
    <t>Modelli generici: Logo aziendale (IdEnt: -0)</t>
  </si>
  <si>
    <t>Porta Una Anta - Semplice: 80 x 210 cm (IdEnt: -411)</t>
  </si>
  <si>
    <t>Porta Una Anta - Semplice: 100 x 210 cm (IdEnt: -418)</t>
  </si>
  <si>
    <t>Scorrevole - Vetro: 100 x 210 cm (IdEnt: -422)</t>
  </si>
  <si>
    <t>Pannello - Porta Singola: 80x210 cm (IdEnt: -68)</t>
  </si>
  <si>
    <t>Pannello - Porta Singola: 80x210 cm (IdEnt: -423)</t>
  </si>
  <si>
    <t>Doppia Anta: Porta a doppia anta per ingresso principale - (IdEnt: 250787)</t>
  </si>
  <si>
    <t>Doppia Anta: Porta a doppia anta per ingresso principale - (IdEnt: 256893)</t>
  </si>
  <si>
    <t>Detrazioni al 50%</t>
  </si>
  <si>
    <t>Schueco_ADS-70-HD_out-aft_Family-02: Type 1 - (IdEnt: 508896)</t>
  </si>
  <si>
    <t>Schueco_ADS-70-HD_out-aft_Family-02: Type 1 - (IdEnt: 517291)</t>
  </si>
  <si>
    <t>Linee di modello: Scavo per acque reflue - (IdEnt: 507129)</t>
  </si>
  <si>
    <t>9,9*1,2</t>
  </si>
  <si>
    <t>Linee di modello: Scavo per acque reflue - (IdEnt: 507236)</t>
  </si>
  <si>
    <t>2,4*1,2</t>
  </si>
  <si>
    <t>Linee di modello: Scavo per acque reflue - (IdEnt: 507152)</t>
  </si>
  <si>
    <t>4,462*1,2</t>
  </si>
  <si>
    <t>Linee di modello: Scavo per acque reflue - (IdEnt: 507072)</t>
  </si>
  <si>
    <t>1,8*1,2</t>
  </si>
  <si>
    <t>Noleggio escavatore: Noleggio escavatore - (IdEnt: 583605)</t>
  </si>
  <si>
    <t>Impresa Rossi</t>
  </si>
  <si>
    <t>Finestra - 1 Anta: 90x150cm - (IdEnt: 575552)</t>
  </si>
  <si>
    <t>Finestra - 1 Anta: 90x150cm - (IdEnt: 575553)</t>
  </si>
  <si>
    <t>Impresa Verdi</t>
  </si>
  <si>
    <t>Finestra - 1 Anta: 90x150cm - (IdEnt: 575620)</t>
  </si>
  <si>
    <t>Impresa Bianchi</t>
  </si>
  <si>
    <t>Finestra - 1 Anta: 90x150cm - (IdEnt: 503222)</t>
  </si>
  <si>
    <t>Finestra - 1 Anta: 90x150cm - (IdEnt: 505942)</t>
  </si>
  <si>
    <t>Finestra - 1 Anta: 90x150cm - (IdEnt: 505974)</t>
  </si>
  <si>
    <t>(0,9*2)+(1,5*2)</t>
  </si>
  <si>
    <t>Pannelli di facciata continua: Pannello in vetro per facciata continua - (IdEnt: 499989)</t>
  </si>
  <si>
    <t>Pannelli di facciata continua: Pannello in vetro per facciata continua - (IdEnt: 500007)</t>
  </si>
  <si>
    <t>Pannelli di facciata continua: Pannello in vetro per facciata continua - (IdEnt: 500012)</t>
  </si>
  <si>
    <t>Pannelli di facciata continua: Pannello in vetro per facciata continua - (IdEnt: 499997)</t>
  </si>
  <si>
    <t>Pannelli di facciata continua: Pannello in vetro per facciata continua - (IdEnt: 500022)</t>
  </si>
  <si>
    <t>Pannelli di facciata continua: Pannello in vetro per facciata continua - (IdEnt: 500032)</t>
  </si>
  <si>
    <t>Pannelli di facciata continua: Pannello in vetro per facciata continua - (IdEnt: 500037)</t>
  </si>
  <si>
    <t>Pannelli di facciata continua: Pannello in vetro per facciata continua - (IdEnt: 500042)</t>
  </si>
  <si>
    <t>Pannelli di facciata continua: Pannello in vetro per facciata continua - (IdEnt: 500017)</t>
  </si>
  <si>
    <t>Pannelli di facciata continua: Pannello in vetro per facciata continua - (IdEnt: 500057)</t>
  </si>
  <si>
    <t>Pannelli di facciata continua: Pannello in vetro per facciata continua - (IdEnt: 500047)</t>
  </si>
  <si>
    <t>Pannelli di facciata continua: Pannello in vetro per facciata continua - (IdEnt: 500052)</t>
  </si>
  <si>
    <t>Pannelli di facciata continua: Pannello in vetro per facciata continua - (IdEnt: 246883)</t>
  </si>
  <si>
    <t>Pannelli di facciata continua: Pannello in vetro per facciata continua - (IdEnt: 246979)</t>
  </si>
  <si>
    <t>Pannelli di facciata continua: Pannello in vetro per facciata continua - (IdEnt: 247059)</t>
  </si>
  <si>
    <t>Pannelli di facciata continua: Pannello in vetro per facciata continua - (IdEnt: 246805)</t>
  </si>
  <si>
    <t>Pannelli di facciata continua: Pannello in vetro per facciata continua - (IdEnt: 246767)</t>
  </si>
  <si>
    <t>Pannelli di facciata continua: Pannello in vetro per facciata continua - (IdEnt: 246689)</t>
  </si>
  <si>
    <t>Pannelli di facciata continua: Pannello in vetro per facciata continua - (IdEnt: 247105)</t>
  </si>
  <si>
    <t>Pannelli di facciata continua: Pannello in vetro per facciata continua - (IdEnt: 247219)</t>
  </si>
  <si>
    <t>Pannelli di facciata continua: Pannello in vetro per facciata continua - (IdEnt: 256910)</t>
  </si>
  <si>
    <t>Pannelli di facciata continua: Pannello in vetro per facciata continua - (IdEnt: 250920)</t>
  </si>
  <si>
    <t>Pannelli di facciata continua: Pannello in vetro per facciata continua - (IdEnt: 247515)</t>
  </si>
  <si>
    <t>Pannelli di facciata continua: Pannello in vetro per facciata continua - (IdEnt: 339095)</t>
  </si>
  <si>
    <t>Pannelli di facciata continua: Pannello in vetro per facciata continua - (IdEnt: 339094)</t>
  </si>
  <si>
    <t>Pannelli di facciata continua: Pannello in vetro per facciata continua - (IdEnt: 339093)</t>
  </si>
  <si>
    <t>Pannelli di facciata continua: Pannello in vetro per facciata continua - (IdEnt: 256747)</t>
  </si>
  <si>
    <t>Pannelli di facciata continua: Pannello in vetro per facciata continua - (IdEnt: 240502)</t>
  </si>
  <si>
    <t>Pannelli di facciata continua: Pannello in vetro per facciata continua - (IdEnt: 247283)</t>
  </si>
  <si>
    <t>Pannelli di facciata continua: Pannello in vetro per facciata continua - (IdEnt: 240446)</t>
  </si>
  <si>
    <t>Pannelli di facciata continua: Pannello in vetro per facciata continua - (IdEnt: 256901)</t>
  </si>
  <si>
    <t>Pannelli di facciata continua: Pannello in vetro per facciata continua - (IdEnt: 247429)</t>
  </si>
  <si>
    <t>Pannelli di facciata continua: Pannello in vetro per facciata continua - (IdEnt: 220068)</t>
  </si>
  <si>
    <t>Pannelli di facciata continua: Pannello in vetro per facciata continua - (IdEnt: 256879)</t>
  </si>
  <si>
    <t>Pannelli di facciata continua: Pannello in vetro per facciata continua - (IdEnt: 220172)</t>
  </si>
  <si>
    <t>Pannelli di facciata continua: Pannello in vetro per facciata continua - (IdEnt: 247139)</t>
  </si>
  <si>
    <t>Facciata continua: Facciata continua - (IdEnt: 499988)</t>
  </si>
  <si>
    <t>Facciata continua: Facciata continua - (IdEnt: 256878)</t>
  </si>
  <si>
    <t>Facciata continua: Facciata continua - (IdEnt: 220155)</t>
  </si>
  <si>
    <t>Facciata continua: Facciata continua - (IdEnt: 76964)</t>
  </si>
  <si>
    <t>Facciata continua: Facciata continua completa di porta scorrevole per ufficio interno (IdEnt: -468)</t>
  </si>
  <si>
    <t>2,381+3,865+3,865+2,416+3,686+3,858+3,936</t>
  </si>
  <si>
    <t>Passerella con raccordi: Passerella 100x50 con pioli - (IdEnt: 364822)</t>
  </si>
  <si>
    <t>Passerella con raccordi: Passerella 100x50 con pioli - (IdEnt: 361374)</t>
  </si>
  <si>
    <t>Passerella con raccordi: Passerella 100x50 con pioli - (IdEnt: 363844)</t>
  </si>
  <si>
    <t>Passerella con raccordi: Passerella 100x50 con pioli - (IdEnt: 364850)</t>
  </si>
  <si>
    <t>Passerella con raccordi: Passerella 100x50 con pioli - (IdEnt: 363919)</t>
  </si>
  <si>
    <t>Passerella con raccordi: Passerella 100x50 con pioli - (IdEnt: 361363)</t>
  </si>
  <si>
    <t>Passerella con raccordi: Passerella 100x50 con pioli - (IdEnt: 361032)</t>
  </si>
  <si>
    <t>Passerella con raccordi: Passerella 100x50 con pioli - (IdEnt: 361038)</t>
  </si>
  <si>
    <t>Passerella con raccordi: Passerella 100x50 con pioli - (IdEnt: 361150)</t>
  </si>
  <si>
    <t>Passerella con raccordi: Passerella 100x50 con pioli - (IdEnt: 361136)</t>
  </si>
  <si>
    <t>M_Raccordo a T orizzontale scala a pioli: Raggio 300 mm (IdEnt: -485)</t>
  </si>
  <si>
    <t>M_Curvatura orizzontale scala a pioli: Curva orizzontale per passerella a pioli 100x50 (IdEnt: -487)</t>
  </si>
  <si>
    <t>M_Curvatura esterna verticale scala a pioli: Curvatura verticale per passerella a pioli 100x50 (IdEnt: -490)</t>
  </si>
  <si>
    <t>M_Quadro interruttore automatico: 610mmx660mm (IdEnt: -494)</t>
  </si>
  <si>
    <t>M_Gomito trazione tubo protettivo - PVC: Gomito tubo protettivo 27 mm (IdEnt: -496)</t>
  </si>
  <si>
    <t>M_Scatola di giunzione tubo protettivo - Raccordo a T- PVC: Scatola di derivazione elettrica (IdEnt: -498)</t>
  </si>
  <si>
    <t>Tubi protettivi: Tubo protettivo diametro 27mm - (IdEnt: 411477)</t>
  </si>
  <si>
    <t>Tubi protettivi: Tubo protettivo diametro 27mm - (IdEnt: 411419)</t>
  </si>
  <si>
    <t>Tubi protettivi: Tubo protettivo diametro 27mm - (IdEnt: 475315)</t>
  </si>
  <si>
    <t>Tubi protettivi: Tubo protettivo diametro 27mm - (IdEnt: 411985)</t>
  </si>
  <si>
    <t>Tubi protettivi: Tubo protettivo diametro 27mm - (IdEnt: 475304)</t>
  </si>
  <si>
    <t>Condotto rettangolare: Condotto rettangolare zona bancomat - (IdEnt: 615585)</t>
  </si>
  <si>
    <t>0,9*0,076</t>
  </si>
  <si>
    <t>Condotto rettangolare: Condotto rettangolare zona bancomat - (IdEnt: 615571)</t>
  </si>
  <si>
    <t>Condotto rettangolare: Condotto rettangolare zona bancomat - (IdEnt: 615583)</t>
  </si>
  <si>
    <t>0,9*1,188</t>
  </si>
  <si>
    <t>Condotto rettangolare: Condotto rettangolare zona bancomat - (IdEnt: 615565)</t>
  </si>
  <si>
    <t>0,9*0,7</t>
  </si>
  <si>
    <t>Condotto rettangolare: Condotto rettangolare zona bancomat - (IdEnt: 615586)</t>
  </si>
  <si>
    <t>0,9*1,355</t>
  </si>
  <si>
    <t>Condotto rettangolare: Condotto rettangolare zona bancomat - (IdEnt: 615570)</t>
  </si>
  <si>
    <t>0,9*0,485</t>
  </si>
  <si>
    <t>Condotto rettangolare: Condotto rettangolare zona bancomat - (IdEnt: 615566)</t>
  </si>
  <si>
    <t>Condotto rettangolare: Condotto rettangolare zona bancomat - (IdEnt: 615573)</t>
  </si>
  <si>
    <t>1,3*1,147</t>
  </si>
  <si>
    <t>Condotto rettangolare: Condotto rettangolare zona bancomat - (IdEnt: 615568)</t>
  </si>
  <si>
    <t>1,5*4,179</t>
  </si>
  <si>
    <t>Condotto rettangolare: Condotto rettangolare zona bancomat - (IdEnt: 615578)</t>
  </si>
  <si>
    <t>1,5*0,261</t>
  </si>
  <si>
    <t>Condotto rettangolare: Condotto rettangolare zona bancomat - (IdEnt: 615576)</t>
  </si>
  <si>
    <t>1,5*2,375</t>
  </si>
  <si>
    <t>Condotto rettangolare: Condotto rettangolare zona bancomat - (IdEnt: 615580)</t>
  </si>
  <si>
    <t>1,5*0,105</t>
  </si>
  <si>
    <t>M_Diffusore mandata: Placca 600 x 600 Connessione 300 x 300 (IdEnt: -516)</t>
  </si>
  <si>
    <t>M_Gomito rettangolare - Ad angolo: Gomito condotto rettangolare 300x300 (IdEnt: -519)</t>
  </si>
  <si>
    <t>M_Transizione rettangolare - Angolo: 15 gradi (IdEnt: -526)</t>
  </si>
  <si>
    <t>M_Raccordo a T rettangolare - Raccordo: Standard (IdEnt: -534)</t>
  </si>
  <si>
    <t>M_Ventilatore a centrifuga - In linea - Azionamento diretto: 179 LPS (IdEnt: -536)</t>
  </si>
  <si>
    <t>ATM_-_Wall_Mounted_with_Depository_3731: Bancomat a muro standard per filiale (IdEnt: -537)</t>
  </si>
  <si>
    <t>M_Lavello - Servizio: 560 mmx485 mm - Ufficio (IdEnt: -540)</t>
  </si>
  <si>
    <t>M_WC - Serbatoio con galleggiante: Pubblico - Cacciata superiore a 6.1 Lpf (IdEnt: -541)</t>
  </si>
  <si>
    <t>M_Bidet: Standard (IdEnt: -542)</t>
  </si>
  <si>
    <t>Tubazione: Tubazione da 32 mm - (IdEnt: 406285)</t>
  </si>
  <si>
    <t>Tubazione: Tubazione da 32 mm - (IdEnt: 406406)</t>
  </si>
  <si>
    <t>Tubazione: Tubazione da 40 mm - (IdEnt: 406597)</t>
  </si>
  <si>
    <t>Tubazione: Tubazione da 40 mm - (IdEnt: 406617)</t>
  </si>
  <si>
    <t>Tubazione: Tubazione da 40 mm - (IdEnt: 406641)</t>
  </si>
  <si>
    <t>Tubazione: Tubazione da 100 mm - (IdEnt: 406479)</t>
  </si>
  <si>
    <t>Tubazione: Tubazione da 100 mm - (IdEnt: 406446)</t>
  </si>
  <si>
    <t>Tubazione: Tubazione da 100 mm - (IdEnt: 406458)</t>
  </si>
  <si>
    <t>M_Gomito - Generico: Gomito tubazione diametro 32 (IdEnt: -551)</t>
  </si>
  <si>
    <t>M_Gomito - Generico: Gomito tubazione diametro 40 (IdEnt: -553)</t>
  </si>
  <si>
    <t>M_Gomito - Generico: Gomito tubazione diametro 100 (IdEnt: -554)</t>
  </si>
  <si>
    <t>Solido topografico: Terreno sottostante alla filiale - (IdEnt: 613047)</t>
  </si>
  <si>
    <t>Montanti della facciata continua: Montante rettangolare (IdEnt: -92)</t>
  </si>
  <si>
    <t>Montanti della facciata continua: Montante angolare quadrato 2 (IdEnt: -557)</t>
  </si>
  <si>
    <t>Montanti della facciata continua: Montante angolare quadrato (IdEnt: -558)</t>
  </si>
  <si>
    <t>Montanti della facciata continua: Montante rettangolare 2 (IdEnt: -563)</t>
  </si>
  <si>
    <t>Montanti della facciata continua: Montante rettangolare (IdEnt: -575)</t>
  </si>
  <si>
    <t>Pannelli di facciata continua: CWAPANEL_Solido_SL_TypeA (IdEnt: -174)</t>
  </si>
  <si>
    <t>Pannelli di facciata continua: CWAPANEL_Glass_SL_TypeB (IdEnt: -682)</t>
  </si>
  <si>
    <t>Pannelli di facciata continua: CWAPANEL_Solido_SL_TypeA (IdEnt: -691)</t>
  </si>
  <si>
    <t>Pannelli di facciata continua: CWAPANEL_Solido_SL_TypeB (IdEnt: -712)</t>
  </si>
  <si>
    <t>Esempio famiglia nidificata - Tavolo con seggiola: Famiglia completa tavolo con seggiola (IdEnt: -717)</t>
  </si>
  <si>
    <t>Entità non collegate a Livello o Piano - Sc: Impianti idro - sanitari - accessori</t>
  </si>
  <si>
    <t>Interni</t>
  </si>
  <si>
    <t>Assiemi: Assieme apparecchi idraulici per Bagni - (IdEnt: 613043)</t>
  </si>
  <si>
    <t>BIM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</si>
</sst>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#,##0.00\ &quot;€&quot;"/>
    <numFmt numFmtId="165" formatCode="_-* #.#0\ [$€-410]_-;\-* #.#0\ [$€-410]_-;_-* &quot;-&quot;??\ [$€-410]_-;_-@_-"/>
    <numFmt numFmtId="166" formatCode="#,##0.000"/>
    <numFmt numFmtId="167" formatCode="0.000"/>
  </numFmts>
  <fonts count="8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33CC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2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2" tint="-0.499984740745262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34998626667073579"/>
      </left>
      <right/>
      <top style="thin">
        <color indexed="64"/>
      </top>
      <bottom style="thin">
        <color theme="0" tint="-0.34998626667073579"/>
      </bottom>
      <diagonal/>
    </border>
    <border>
      <left/>
      <right/>
      <top style="thin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2" tint="-0.249977111117893"/>
      </left>
      <right/>
      <top style="thin">
        <color indexed="64"/>
      </top>
      <bottom/>
      <diagonal/>
    </border>
    <border>
      <left style="thin">
        <color theme="2" tint="-0.249977111117893"/>
      </left>
      <right/>
      <top/>
      <bottom style="thin">
        <color theme="0" tint="-0.34998626667073579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3">
    <xf numFmtId="0" fontId="0" fillId="0" borderId="0" xfId="0"/>
    <xf numFmtId="0" fontId="2" fillId="0" borderId="12" xfId="0" applyFont="1" applyBorder="1"/>
    <xf numFmtId="164" fontId="2" fillId="3" borderId="13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right" vertical="center" indent="1"/>
    </xf>
    <xf numFmtId="0" fontId="2" fillId="0" borderId="0" xfId="0" applyFont="1" applyAlignment="1">
      <alignment horizontal="left" vertical="center" indent="1"/>
    </xf>
    <xf numFmtId="0" fontId="2" fillId="0" borderId="0" xfId="0" applyFont="1" applyAlignment="1">
      <alignment horizontal="left" vertical="center" wrapText="1" indent="1"/>
    </xf>
    <xf numFmtId="2" fontId="2" fillId="0" borderId="0" xfId="0" applyNumberFormat="1" applyFont="1" applyAlignment="1">
      <alignment horizontal="right" vertical="center" indent="1"/>
    </xf>
    <xf numFmtId="164" fontId="2" fillId="0" borderId="0" xfId="0" applyNumberFormat="1" applyFont="1" applyAlignment="1">
      <alignment horizontal="right" vertical="center" indent="1"/>
    </xf>
    <xf numFmtId="0" fontId="2" fillId="0" borderId="0" xfId="0" applyFont="1"/>
    <xf numFmtId="2" fontId="2" fillId="2" borderId="13" xfId="0" applyNumberFormat="1" applyFont="1" applyFill="1" applyBorder="1" applyAlignment="1">
      <alignment horizontal="center" vertical="center" wrapText="1"/>
    </xf>
    <xf numFmtId="164" fontId="2" fillId="2" borderId="13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49" fontId="2" fillId="0" borderId="6" xfId="0" applyNumberFormat="1" applyFont="1" applyBorder="1" applyAlignment="1">
      <alignment horizontal="right" vertical="center" indent="1"/>
    </xf>
    <xf numFmtId="49" fontId="2" fillId="0" borderId="11" xfId="0" applyNumberFormat="1" applyFont="1" applyBorder="1" applyAlignment="1">
      <alignment horizontal="left" vertical="center" indent="1"/>
    </xf>
    <xf numFmtId="49" fontId="2" fillId="0" borderId="5" xfId="0" applyNumberFormat="1" applyFont="1" applyBorder="1" applyAlignment="1">
      <alignment horizontal="right" vertical="center" indent="1"/>
    </xf>
    <xf numFmtId="49" fontId="2" fillId="0" borderId="10" xfId="0" applyNumberFormat="1" applyFont="1" applyBorder="1" applyAlignment="1">
      <alignment horizontal="left" vertical="center" indent="1"/>
    </xf>
    <xf numFmtId="49" fontId="2" fillId="0" borderId="1" xfId="0" applyNumberFormat="1" applyFont="1" applyBorder="1" applyAlignment="1">
      <alignment horizontal="right" vertical="center" indent="1"/>
    </xf>
    <xf numFmtId="49" fontId="2" fillId="0" borderId="9" xfId="0" applyNumberFormat="1" applyFont="1" applyBorder="1" applyAlignment="1">
      <alignment horizontal="left" vertical="center" indent="1"/>
    </xf>
    <xf numFmtId="49" fontId="2" fillId="0" borderId="8" xfId="0" applyNumberFormat="1" applyFont="1" applyBorder="1" applyAlignment="1">
      <alignment horizontal="left" vertical="center" indent="1"/>
    </xf>
    <xf numFmtId="49" fontId="2" fillId="0" borderId="7" xfId="0" applyNumberFormat="1" applyFont="1" applyBorder="1" applyAlignment="1">
      <alignment horizontal="right" vertical="center" indent="1"/>
    </xf>
    <xf numFmtId="49" fontId="2" fillId="0" borderId="4" xfId="0" applyNumberFormat="1" applyFont="1" applyBorder="1" applyAlignment="1">
      <alignment horizontal="left" vertical="center" indent="1"/>
    </xf>
    <xf numFmtId="0" fontId="2" fillId="0" borderId="4" xfId="0" applyFont="1" applyBorder="1" applyAlignment="1">
      <alignment horizontal="right" vertical="center"/>
    </xf>
    <xf numFmtId="49" fontId="3" fillId="0" borderId="0" xfId="0" applyNumberFormat="1" applyFont="1" applyAlignment="1">
      <alignment horizontal="left" vertical="center" wrapText="1" indent="1"/>
    </xf>
    <xf numFmtId="49" fontId="2" fillId="0" borderId="0" xfId="0" applyNumberFormat="1" applyFont="1" applyAlignment="1">
      <alignment horizontal="left" vertical="center"/>
    </xf>
    <xf numFmtId="43" fontId="2" fillId="3" borderId="13" xfId="1" applyFont="1" applyFill="1" applyBorder="1" applyAlignment="1">
      <alignment horizontal="center" vertical="center" wrapText="1"/>
    </xf>
    <xf numFmtId="43" fontId="2" fillId="0" borderId="0" xfId="1" applyFont="1" applyAlignment="1">
      <alignment horizontal="right" vertical="center" wrapText="1"/>
    </xf>
    <xf numFmtId="164" fontId="2" fillId="3" borderId="13" xfId="0" applyNumberFormat="1" applyFont="1" applyFill="1" applyBorder="1" applyAlignment="1">
      <alignment horizontal="center" vertical="center" wrapText="1"/>
    </xf>
    <xf numFmtId="0" fontId="2" fillId="0" borderId="16" xfId="0" applyFont="1" applyBorder="1"/>
    <xf numFmtId="164" fontId="2" fillId="3" borderId="2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49" fontId="2" fillId="2" borderId="14" xfId="0" applyNumberFormat="1" applyFont="1" applyFill="1" applyBorder="1" applyAlignment="1">
      <alignment horizontal="center" vertical="center"/>
    </xf>
    <xf numFmtId="49" fontId="2" fillId="2" borderId="15" xfId="0" applyNumberFormat="1" applyFont="1" applyFill="1" applyBorder="1" applyAlignment="1">
      <alignment horizontal="center" vertical="center"/>
    </xf>
    <xf numFmtId="49" fontId="2" fillId="2" borderId="14" xfId="0" applyNumberFormat="1" applyFont="1" applyFill="1" applyBorder="1" applyAlignment="1">
      <alignment horizontal="center" vertical="center" wrapText="1"/>
    </xf>
    <xf numFmtId="49" fontId="2" fillId="2" borderId="15" xfId="0" applyNumberFormat="1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164" fontId="2" fillId="2" borderId="13" xfId="0" applyNumberFormat="1" applyFont="1" applyFill="1" applyBorder="1" applyAlignment="1">
      <alignment horizontal="center" vertical="center" wrapText="1"/>
    </xf>
    <xf numFmtId="164" fontId="2" fillId="2" borderId="13" xfId="0" applyNumberFormat="1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1" fillId="3" borderId="19" xfId="0" applyFont="1" applyFill="1" applyBorder="1" applyAlignment="1">
      <alignment horizontal="center" vertical="center"/>
    </xf>
    <xf numFmtId="49" fontId="2" fillId="3" borderId="15" xfId="0" applyNumberFormat="1" applyFont="1" applyFill="1" applyBorder="1" applyAlignment="1">
      <alignment horizontal="center" vertical="center"/>
    </xf>
    <xf numFmtId="49" fontId="2" fillId="3" borderId="13" xfId="0" applyNumberFormat="1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49" fontId="2" fillId="3" borderId="15" xfId="0" applyNumberFormat="1" applyFont="1" applyFill="1" applyBorder="1" applyAlignment="1">
      <alignment horizontal="center" vertical="center" wrapText="1"/>
    </xf>
    <xf numFmtId="49" fontId="2" fillId="3" borderId="13" xfId="0" applyNumberFormat="1" applyFont="1" applyFill="1" applyBorder="1" applyAlignment="1">
      <alignment horizontal="center" vertical="center" wrapText="1"/>
    </xf>
    <xf numFmtId="2" fontId="2" fillId="3" borderId="15" xfId="0" applyNumberFormat="1" applyFont="1" applyFill="1" applyBorder="1" applyAlignment="1">
      <alignment horizontal="center" vertical="center"/>
    </xf>
    <xf numFmtId="2" fontId="2" fillId="3" borderId="13" xfId="0" applyNumberFormat="1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 vertical="center"/>
    </xf>
    <xf numFmtId="0" fontId="2" fillId="3" borderId="21" xfId="0" applyFont="1" applyFill="1" applyBorder="1" applyAlignment="1">
      <alignment horizontal="center" vertical="center"/>
    </xf>
    <xf numFmtId="164" fontId="2" fillId="3" borderId="23" xfId="0" applyNumberFormat="1" applyFont="1" applyFill="1" applyBorder="1" applyAlignment="1">
      <alignment horizontal="center" vertical="center" wrapText="1"/>
    </xf>
    <xf numFmtId="164" fontId="2" fillId="3" borderId="24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left" vertical="center" wrapText="1" indent="1"/>
    </xf>
    <xf numFmtId="49" fontId="2" fillId="0" borderId="0" xfId="0" applyNumberFormat="1" applyFont="1" applyAlignment="1">
      <alignment horizontal="left" vertical="center" indent="1"/>
    </xf>
    <xf numFmtId="49" fontId="2" fillId="0" borderId="0" xfId="0" applyNumberFormat="1" applyFont="1" applyAlignment="1">
      <alignment horizontal="left" vertical="center" wrapText="1" indent="1"/>
    </xf>
    <xf numFmtId="0" fontId="3" fillId="0" borderId="0" xfId="0" applyFont="1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0" fontId="1" fillId="0" borderId="0" xfId="0" applyFont="1" applyAlignment="1">
      <alignment horizontal="right" vertical="center" wrapText="1" indent="1"/>
    </xf>
    <xf numFmtId="0" fontId="6" fillId="0" borderId="0" xfId="0" applyFont="1" applyAlignment="1">
      <alignment horizontal="right" vertical="center" indent="1"/>
    </xf>
    <xf numFmtId="0" fontId="6" fillId="0" borderId="0" xfId="0" applyFont="1" applyAlignment="1">
      <alignment horizontal="left" vertical="center" indent="1"/>
    </xf>
    <xf numFmtId="0" fontId="6" fillId="0" borderId="0" xfId="0" applyFont="1" applyAlignment="1">
      <alignment horizontal="left" vertical="center" wrapText="1" indent="1"/>
    </xf>
    <xf numFmtId="49" fontId="7" fillId="0" borderId="0" xfId="0" applyNumberFormat="1" applyFont="1" applyAlignment="1">
      <alignment horizontal="right" vertical="center" wrapText="1" indent="1"/>
    </xf>
    <xf numFmtId="165" fontId="2" fillId="0" borderId="0" xfId="0" applyNumberFormat="1" applyFont="1" applyAlignment="1">
      <alignment horizontal="right" vertical="center" indent="1"/>
    </xf>
    <xf numFmtId="165" fontId="1" fillId="0" borderId="0" xfId="0" applyNumberFormat="1" applyFont="1" applyAlignment="1">
      <alignment horizontal="right" vertical="center" indent="1"/>
    </xf>
    <xf numFmtId="166" fontId="2" fillId="0" borderId="0" xfId="0" applyNumberFormat="1" applyFont="1" applyAlignment="1">
      <alignment horizontal="right" vertical="center" indent="1"/>
    </xf>
    <xf numFmtId="167" fontId="2" fillId="0" borderId="0" xfId="1" applyNumberFormat="1" applyFont="1" applyBorder="1" applyAlignment="1">
      <alignment horizontal="right" vertical="center" wrapText="1"/>
    </xf>
    <xf numFmtId="167" fontId="2" fillId="0" borderId="0" xfId="0" applyNumberFormat="1" applyFont="1" applyAlignment="1">
      <alignment horizontal="right" vertical="center" indent="1"/>
    </xf>
    <xf numFmtId="167" fontId="2" fillId="0" borderId="0" xfId="1" applyNumberFormat="1" applyFont="1" applyAlignment="1">
      <alignment horizontal="right" vertical="center" wrapText="1"/>
    </xf>
    <xf numFmtId="167" fontId="6" fillId="0" borderId="0" xfId="1" applyNumberFormat="1" applyFont="1" applyAlignment="1">
      <alignment horizontal="right" vertical="center" wrapText="1"/>
    </xf>
    <xf numFmtId="167" fontId="6" fillId="0" borderId="0" xfId="0" applyNumberFormat="1" applyFont="1" applyAlignment="1">
      <alignment horizontal="right" vertical="center" inden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colors>
    <mruColors>
      <color rgb="FF0033CC"/>
      <color rgb="FF0066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PO10"/>
  <sheetViews>
    <sheetView zoomScale="69" zoomScaleNormal="69" workbookViewId="0">
      <pane ySplit="1" topLeftCell="A2" activePane="bottomLeft" state="frozen"/>
      <selection pane="bottomLeft" sqref="A1:B1"/>
    </sheetView>
  </sheetViews>
  <sheetFormatPr defaultColWidth="0" defaultRowHeight="24.95" customHeight="1" zeroHeight="1" x14ac:dyDescent="0.25"/>
  <cols>
    <col min="1" max="1" width="66.7109375" style="12" customWidth="1"/>
    <col min="2" max="2" width="120.7109375" style="12" customWidth="1"/>
    <col min="3" max="1107" width="0" style="12" hidden="1" customWidth="1"/>
    <col min="1108" max="16384" width="9.140625" style="12" hidden="1"/>
  </cols>
  <sheetData>
    <row r="1" spans="1:2" ht="30" customHeight="1" x14ac:dyDescent="0.25">
      <c r="A1" s="30" t="s">
        <v>32</v>
      </c>
      <c r="B1" s="31"/>
    </row>
    <row r="2" spans="1:2" ht="24.95" customHeight="1" x14ac:dyDescent="0.25">
      <c r="A2" s="13" t="s">
        <v>14</v>
      </c>
      <c r="B2" s="14" t="s">
        <v>33</v>
      </c>
    </row>
    <row r="3" spans="1:2" ht="24.95" customHeight="1" x14ac:dyDescent="0.25">
      <c r="A3" s="15" t="s">
        <v>15</v>
      </c>
      <c r="B3" s="16" t="s">
        <v>34</v>
      </c>
    </row>
    <row r="4" spans="1:2" ht="24.95" customHeight="1" x14ac:dyDescent="0.25">
      <c r="A4" s="17" t="s">
        <v>16</v>
      </c>
      <c r="B4" s="18" t="s">
        <v>35</v>
      </c>
    </row>
    <row r="5" spans="1:2" ht="24.95" customHeight="1" x14ac:dyDescent="0.25">
      <c r="A5" s="15" t="s">
        <v>17</v>
      </c>
      <c r="B5" s="19" t="s">
        <v>36</v>
      </c>
    </row>
    <row r="6" spans="1:2" ht="24.95" customHeight="1" x14ac:dyDescent="0.25">
      <c r="A6" s="20" t="s">
        <v>18</v>
      </c>
      <c r="B6" s="21" t="s">
        <v>37</v>
      </c>
    </row>
    <row r="7" spans="1:2" ht="24.95" customHeight="1" x14ac:dyDescent="0.25">
      <c r="A7" s="13" t="s">
        <v>19</v>
      </c>
      <c r="B7" s="19" t="s">
        <v>39</v>
      </c>
    </row>
    <row r="8" spans="1:2" ht="24.95" customHeight="1" x14ac:dyDescent="0.25">
      <c r="A8" s="13" t="s">
        <v>20</v>
      </c>
      <c r="B8" s="19" t="s">
        <v>38</v>
      </c>
    </row>
    <row r="9" spans="1:2" ht="24.95" customHeight="1" x14ac:dyDescent="0.25">
      <c r="A9" s="15" t="s">
        <v>21</v>
      </c>
      <c r="B9" s="19"/>
    </row>
    <row r="10" spans="1:2" ht="24.95" hidden="1" customHeight="1" x14ac:dyDescent="0.25">
      <c r="B10" s="22"/>
    </row>
  </sheetData>
  <mergeCells count="1">
    <mergeCell ref="A1:B1"/>
  </mergeCells>
  <printOptions horizontalCentered="1"/>
  <pageMargins left="0.25" right="0.25" top="0.75" bottom="0.75" header="0.3" footer="0.3"/>
  <pageSetup paperSize="9" scale="7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F283"/>
  <sheetViews>
    <sheetView zoomScale="68" zoomScaleNormal="68" workbookViewId="0">
      <pane ySplit="3" topLeftCell="A4" activePane="bottomLeft" state="frozen"/>
      <selection pane="bottomLeft" sqref="A1:F1"/>
    </sheetView>
  </sheetViews>
  <sheetFormatPr defaultColWidth="0" defaultRowHeight="15.75" x14ac:dyDescent="0.25"/>
  <cols>
    <col min="1" max="1" width="20.7109375" style="24" customWidth="1"/>
    <col min="2" max="2" width="100.7109375" style="23" customWidth="1"/>
    <col min="3" max="3" width="15.7109375" style="11" customWidth="1"/>
    <col min="4" max="4" width="15.7109375" style="7" customWidth="1"/>
    <col min="5" max="5" width="15.7109375" style="6" customWidth="1"/>
    <col min="6" max="6" width="20.7109375" style="7" customWidth="1"/>
    <col min="7" max="9" width="0" style="8" hidden="1" customWidth="1"/>
    <col min="10" max="16384" width="11.85546875" style="8" hidden="1"/>
  </cols>
  <sheetData>
    <row r="1" spans="1:110" ht="30" customHeight="1" x14ac:dyDescent="0.25">
      <c r="A1" s="32" t="s">
        <v>30</v>
      </c>
      <c r="B1" s="32"/>
      <c r="C1" s="32"/>
      <c r="D1" s="32"/>
      <c r="E1" s="32"/>
      <c r="F1" s="32"/>
    </row>
    <row r="2" spans="1:110" ht="30" customHeight="1" x14ac:dyDescent="0.25">
      <c r="A2" s="33" t="s">
        <v>0</v>
      </c>
      <c r="B2" s="35" t="s">
        <v>2</v>
      </c>
      <c r="C2" s="37" t="s">
        <v>3</v>
      </c>
      <c r="D2" s="38" t="s">
        <v>1</v>
      </c>
      <c r="E2" s="39" t="s">
        <v>31</v>
      </c>
      <c r="F2" s="39"/>
    </row>
    <row r="3" spans="1:110" ht="30" customHeight="1" x14ac:dyDescent="0.25">
      <c r="A3" s="34"/>
      <c r="B3" s="36"/>
      <c r="C3" s="37"/>
      <c r="D3" s="38"/>
      <c r="E3" s="9" t="s">
        <v>10</v>
      </c>
      <c r="F3" s="10" t="s">
        <v>13</v>
      </c>
    </row>
    <row r="4" spans="1:110" x14ac:dyDescent="0.25">
      <c r="A4" s="24" t="s">
        <v>40</v>
      </c>
      <c r="B4" s="23" t="s">
        <v>41</v>
      </c>
      <c r="C4" s="11" t="s">
        <v>42</v>
      </c>
      <c r="D4" s="65">
        <v>8</v>
      </c>
      <c r="E4" s="67">
        <v>10.241759999999999</v>
      </c>
      <c r="F4" s="65">
        <f>PRODUCT($D$4,$E$4)</f>
        <v>81.934079999999994</v>
      </c>
      <c r="DF4" s="8" t="s">
        <v>514</v>
      </c>
    </row>
    <row r="5" spans="1:110" hidden="1" x14ac:dyDescent="0.25">
      <c r="B5" s="55" t="s">
        <v>41</v>
      </c>
      <c r="D5" s="65"/>
      <c r="E5" s="67"/>
      <c r="F5" s="65"/>
      <c r="DF5" s="8" t="s">
        <v>514</v>
      </c>
    </row>
    <row r="6" spans="1:110" hidden="1" x14ac:dyDescent="0.25">
      <c r="B6" s="55" t="s">
        <v>41</v>
      </c>
      <c r="D6" s="65"/>
      <c r="E6" s="67"/>
      <c r="F6" s="65"/>
      <c r="DF6" s="8" t="s">
        <v>514</v>
      </c>
    </row>
    <row r="7" spans="1:110" x14ac:dyDescent="0.25">
      <c r="A7" s="24" t="s">
        <v>43</v>
      </c>
      <c r="B7" s="23" t="s">
        <v>44</v>
      </c>
      <c r="C7" s="11" t="s">
        <v>42</v>
      </c>
      <c r="D7" s="65">
        <v>8</v>
      </c>
      <c r="E7" s="67">
        <v>51.871907999999991</v>
      </c>
      <c r="F7" s="65">
        <f>PRODUCT($D$7,$E$7)</f>
        <v>414.97526399999992</v>
      </c>
      <c r="DF7" s="8" t="s">
        <v>514</v>
      </c>
    </row>
    <row r="8" spans="1:110" hidden="1" x14ac:dyDescent="0.25">
      <c r="B8" s="55" t="s">
        <v>44</v>
      </c>
      <c r="D8" s="65"/>
      <c r="E8" s="67"/>
      <c r="F8" s="65"/>
      <c r="DF8" s="8" t="s">
        <v>514</v>
      </c>
    </row>
    <row r="9" spans="1:110" hidden="1" x14ac:dyDescent="0.25">
      <c r="B9" s="55" t="s">
        <v>44</v>
      </c>
      <c r="D9" s="65"/>
      <c r="E9" s="67"/>
      <c r="F9" s="65"/>
      <c r="DF9" s="8" t="s">
        <v>514</v>
      </c>
    </row>
    <row r="10" spans="1:110" x14ac:dyDescent="0.25">
      <c r="A10" s="24" t="s">
        <v>45</v>
      </c>
      <c r="B10" s="23" t="s">
        <v>46</v>
      </c>
      <c r="C10" s="11" t="s">
        <v>42</v>
      </c>
      <c r="D10" s="65">
        <v>12</v>
      </c>
      <c r="E10" s="67">
        <v>145.95656</v>
      </c>
      <c r="F10" s="65">
        <f>PRODUCT($D$10,$E$10)</f>
        <v>1751.4787200000001</v>
      </c>
      <c r="DF10" s="8" t="s">
        <v>514</v>
      </c>
    </row>
    <row r="11" spans="1:110" hidden="1" x14ac:dyDescent="0.25">
      <c r="B11" s="55" t="s">
        <v>46</v>
      </c>
      <c r="D11" s="65"/>
      <c r="E11" s="67"/>
      <c r="F11" s="65"/>
      <c r="DF11" s="8" t="s">
        <v>514</v>
      </c>
    </row>
    <row r="12" spans="1:110" hidden="1" x14ac:dyDescent="0.25">
      <c r="B12" s="55" t="s">
        <v>46</v>
      </c>
      <c r="D12" s="65"/>
      <c r="E12" s="67"/>
      <c r="F12" s="65"/>
      <c r="DF12" s="8" t="s">
        <v>514</v>
      </c>
    </row>
    <row r="13" spans="1:110" x14ac:dyDescent="0.25">
      <c r="A13" s="24" t="s">
        <v>47</v>
      </c>
      <c r="B13" s="23" t="s">
        <v>48</v>
      </c>
      <c r="C13" s="11" t="s">
        <v>42</v>
      </c>
      <c r="D13" s="65">
        <v>15</v>
      </c>
      <c r="E13" s="67">
        <v>148.867952</v>
      </c>
      <c r="F13" s="65">
        <f>PRODUCT($D$13,$E$13)</f>
        <v>2233.01928</v>
      </c>
      <c r="DF13" s="8" t="s">
        <v>514</v>
      </c>
    </row>
    <row r="14" spans="1:110" hidden="1" x14ac:dyDescent="0.25">
      <c r="B14" s="55" t="s">
        <v>48</v>
      </c>
      <c r="D14" s="65"/>
      <c r="E14" s="67"/>
      <c r="F14" s="65"/>
      <c r="DF14" s="8" t="s">
        <v>514</v>
      </c>
    </row>
    <row r="15" spans="1:110" hidden="1" x14ac:dyDescent="0.25">
      <c r="B15" s="55" t="s">
        <v>48</v>
      </c>
      <c r="D15" s="65"/>
      <c r="E15" s="67"/>
      <c r="F15" s="65"/>
      <c r="DF15" s="8" t="s">
        <v>514</v>
      </c>
    </row>
    <row r="16" spans="1:110" x14ac:dyDescent="0.25">
      <c r="A16" s="24" t="s">
        <v>49</v>
      </c>
      <c r="B16" s="23" t="s">
        <v>50</v>
      </c>
      <c r="C16" s="11" t="s">
        <v>42</v>
      </c>
      <c r="D16" s="65">
        <v>6</v>
      </c>
      <c r="E16" s="67">
        <v>2.5852680000000006</v>
      </c>
      <c r="F16" s="65">
        <f>PRODUCT($D$16,$E$16)</f>
        <v>15.511608000000003</v>
      </c>
      <c r="DF16" s="8" t="s">
        <v>514</v>
      </c>
    </row>
    <row r="17" spans="1:110" hidden="1" x14ac:dyDescent="0.25">
      <c r="B17" s="55" t="s">
        <v>50</v>
      </c>
      <c r="D17" s="65"/>
      <c r="E17" s="67"/>
      <c r="F17" s="65"/>
      <c r="DF17" s="8" t="s">
        <v>514</v>
      </c>
    </row>
    <row r="18" spans="1:110" hidden="1" x14ac:dyDescent="0.25">
      <c r="B18" s="55" t="s">
        <v>50</v>
      </c>
      <c r="D18" s="65"/>
      <c r="E18" s="67"/>
      <c r="F18" s="65"/>
      <c r="DF18" s="8" t="s">
        <v>514</v>
      </c>
    </row>
    <row r="19" spans="1:110" x14ac:dyDescent="0.25">
      <c r="A19" s="24" t="s">
        <v>51</v>
      </c>
      <c r="B19" s="23" t="s">
        <v>52</v>
      </c>
      <c r="C19" s="11" t="s">
        <v>42</v>
      </c>
      <c r="D19" s="65">
        <v>8</v>
      </c>
      <c r="E19" s="67">
        <v>9.0875190000000021</v>
      </c>
      <c r="F19" s="65">
        <f>PRODUCT($D$19,$E$19)</f>
        <v>72.700152000000017</v>
      </c>
      <c r="DF19" s="8" t="s">
        <v>514</v>
      </c>
    </row>
    <row r="20" spans="1:110" hidden="1" x14ac:dyDescent="0.25">
      <c r="B20" s="55" t="s">
        <v>52</v>
      </c>
      <c r="D20" s="65"/>
      <c r="E20" s="67"/>
      <c r="F20" s="65"/>
      <c r="DF20" s="8" t="s">
        <v>514</v>
      </c>
    </row>
    <row r="21" spans="1:110" hidden="1" x14ac:dyDescent="0.25">
      <c r="B21" s="55" t="s">
        <v>52</v>
      </c>
      <c r="D21" s="65"/>
      <c r="E21" s="67"/>
      <c r="F21" s="65"/>
      <c r="DF21" s="8" t="s">
        <v>514</v>
      </c>
    </row>
    <row r="22" spans="1:110" x14ac:dyDescent="0.25">
      <c r="A22" s="24" t="s">
        <v>53</v>
      </c>
      <c r="B22" s="23" t="s">
        <v>54</v>
      </c>
      <c r="C22" s="11" t="s">
        <v>42</v>
      </c>
      <c r="D22" s="65">
        <v>13</v>
      </c>
      <c r="E22" s="67">
        <v>109.24544</v>
      </c>
      <c r="F22" s="65">
        <f>PRODUCT($D$22,$E$22)</f>
        <v>1420.1907200000001</v>
      </c>
      <c r="DF22" s="8" t="s">
        <v>514</v>
      </c>
    </row>
    <row r="23" spans="1:110" hidden="1" x14ac:dyDescent="0.25">
      <c r="B23" s="55" t="s">
        <v>54</v>
      </c>
      <c r="D23" s="65"/>
      <c r="E23" s="67"/>
      <c r="F23" s="65"/>
      <c r="DF23" s="8" t="s">
        <v>514</v>
      </c>
    </row>
    <row r="24" spans="1:110" hidden="1" x14ac:dyDescent="0.25">
      <c r="B24" s="55" t="s">
        <v>54</v>
      </c>
      <c r="D24" s="65"/>
      <c r="E24" s="67"/>
      <c r="F24" s="65"/>
      <c r="DF24" s="8" t="s">
        <v>514</v>
      </c>
    </row>
    <row r="25" spans="1:110" x14ac:dyDescent="0.25">
      <c r="A25" s="24" t="s">
        <v>55</v>
      </c>
      <c r="B25" s="23" t="s">
        <v>56</v>
      </c>
      <c r="C25" s="11" t="s">
        <v>58</v>
      </c>
      <c r="D25" s="65">
        <v>3.81</v>
      </c>
      <c r="E25" s="67">
        <v>333.80640000000005</v>
      </c>
      <c r="F25" s="65">
        <f>PRODUCT($D$25,$E$25)</f>
        <v>1271.8023840000003</v>
      </c>
      <c r="DF25" s="8" t="s">
        <v>514</v>
      </c>
    </row>
    <row r="26" spans="1:110" hidden="1" x14ac:dyDescent="0.25">
      <c r="B26" s="55" t="s">
        <v>56</v>
      </c>
      <c r="D26" s="65"/>
      <c r="E26" s="67"/>
      <c r="F26" s="65"/>
      <c r="DF26" s="8" t="s">
        <v>514</v>
      </c>
    </row>
    <row r="27" spans="1:110" ht="31.5" hidden="1" x14ac:dyDescent="0.25">
      <c r="B27" s="55" t="s">
        <v>57</v>
      </c>
      <c r="D27" s="65"/>
      <c r="E27" s="67"/>
      <c r="F27" s="65"/>
      <c r="DF27" s="8" t="s">
        <v>514</v>
      </c>
    </row>
    <row r="28" spans="1:110" x14ac:dyDescent="0.25">
      <c r="A28" s="24" t="s">
        <v>59</v>
      </c>
      <c r="B28" s="23" t="s">
        <v>60</v>
      </c>
      <c r="C28" s="11" t="s">
        <v>42</v>
      </c>
      <c r="D28" s="65">
        <v>2</v>
      </c>
      <c r="E28" s="67">
        <v>12.486400000000003</v>
      </c>
      <c r="F28" s="65">
        <f>PRODUCT($D$28,$E$28)</f>
        <v>24.972800000000007</v>
      </c>
      <c r="DF28" s="8" t="s">
        <v>514</v>
      </c>
    </row>
    <row r="29" spans="1:110" hidden="1" x14ac:dyDescent="0.25">
      <c r="B29" s="55" t="s">
        <v>60</v>
      </c>
      <c r="D29" s="65"/>
      <c r="E29" s="67"/>
      <c r="F29" s="65"/>
      <c r="DF29" s="8" t="s">
        <v>514</v>
      </c>
    </row>
    <row r="30" spans="1:110" hidden="1" x14ac:dyDescent="0.25">
      <c r="B30" s="55" t="s">
        <v>60</v>
      </c>
      <c r="D30" s="65"/>
      <c r="E30" s="67"/>
      <c r="F30" s="65"/>
      <c r="DF30" s="8" t="s">
        <v>514</v>
      </c>
    </row>
    <row r="31" spans="1:110" x14ac:dyDescent="0.25">
      <c r="A31" s="24" t="s">
        <v>61</v>
      </c>
      <c r="B31" s="23" t="s">
        <v>62</v>
      </c>
      <c r="C31" s="11" t="s">
        <v>42</v>
      </c>
      <c r="D31" s="65">
        <v>25</v>
      </c>
      <c r="E31" s="67">
        <v>133.52256</v>
      </c>
      <c r="F31" s="65">
        <f>PRODUCT($D$31,$E$31)</f>
        <v>3338.0639999999999</v>
      </c>
      <c r="DF31" s="8" t="s">
        <v>514</v>
      </c>
    </row>
    <row r="32" spans="1:110" hidden="1" x14ac:dyDescent="0.25">
      <c r="B32" s="55" t="s">
        <v>62</v>
      </c>
      <c r="D32" s="65"/>
      <c r="E32" s="67"/>
      <c r="F32" s="65"/>
      <c r="DF32" s="8" t="s">
        <v>514</v>
      </c>
    </row>
    <row r="33" spans="1:110" hidden="1" x14ac:dyDescent="0.25">
      <c r="B33" s="55" t="s">
        <v>63</v>
      </c>
      <c r="D33" s="65"/>
      <c r="E33" s="67"/>
      <c r="F33" s="65"/>
      <c r="DF33" s="8" t="s">
        <v>514</v>
      </c>
    </row>
    <row r="34" spans="1:110" x14ac:dyDescent="0.25">
      <c r="A34" s="24" t="s">
        <v>64</v>
      </c>
      <c r="B34" s="23" t="s">
        <v>65</v>
      </c>
      <c r="C34" s="11" t="s">
        <v>42</v>
      </c>
      <c r="D34" s="65">
        <v>10</v>
      </c>
      <c r="E34" s="67">
        <v>13.65568</v>
      </c>
      <c r="F34" s="65">
        <f>PRODUCT($D$34,$E$34)</f>
        <v>136.55680000000001</v>
      </c>
      <c r="DF34" s="8" t="s">
        <v>514</v>
      </c>
    </row>
    <row r="35" spans="1:110" hidden="1" x14ac:dyDescent="0.25">
      <c r="B35" s="55" t="s">
        <v>65</v>
      </c>
      <c r="D35" s="65"/>
      <c r="E35" s="67"/>
      <c r="F35" s="65"/>
      <c r="DF35" s="8" t="s">
        <v>514</v>
      </c>
    </row>
    <row r="36" spans="1:110" hidden="1" x14ac:dyDescent="0.25">
      <c r="B36" s="55" t="s">
        <v>65</v>
      </c>
      <c r="D36" s="65"/>
      <c r="E36" s="67"/>
      <c r="F36" s="65"/>
      <c r="DF36" s="8" t="s">
        <v>514</v>
      </c>
    </row>
    <row r="37" spans="1:110" x14ac:dyDescent="0.25">
      <c r="A37" s="24" t="s">
        <v>66</v>
      </c>
      <c r="B37" s="23" t="s">
        <v>67</v>
      </c>
      <c r="C37" s="11" t="s">
        <v>68</v>
      </c>
      <c r="D37" s="65">
        <v>10</v>
      </c>
      <c r="E37" s="67">
        <v>89.224000000000004</v>
      </c>
      <c r="F37" s="65">
        <f>PRODUCT($D$37,$E$37)</f>
        <v>892.24</v>
      </c>
      <c r="DF37" s="8" t="s">
        <v>514</v>
      </c>
    </row>
    <row r="38" spans="1:110" hidden="1" x14ac:dyDescent="0.25">
      <c r="B38" s="55" t="s">
        <v>67</v>
      </c>
      <c r="D38" s="65"/>
      <c r="E38" s="67"/>
      <c r="F38" s="65"/>
      <c r="DF38" s="8" t="s">
        <v>514</v>
      </c>
    </row>
    <row r="39" spans="1:110" hidden="1" x14ac:dyDescent="0.25">
      <c r="B39" s="55" t="s">
        <v>67</v>
      </c>
      <c r="D39" s="65"/>
      <c r="E39" s="67"/>
      <c r="F39" s="65"/>
      <c r="DF39" s="8" t="s">
        <v>514</v>
      </c>
    </row>
    <row r="40" spans="1:110" x14ac:dyDescent="0.25">
      <c r="A40" s="24" t="s">
        <v>69</v>
      </c>
      <c r="B40" s="23" t="s">
        <v>70</v>
      </c>
      <c r="C40" s="11" t="s">
        <v>71</v>
      </c>
      <c r="D40" s="65">
        <v>73</v>
      </c>
      <c r="E40" s="67">
        <v>5</v>
      </c>
      <c r="F40" s="65">
        <f>PRODUCT($D$40,$E$40)</f>
        <v>365</v>
      </c>
      <c r="DF40" s="8" t="s">
        <v>514</v>
      </c>
    </row>
    <row r="41" spans="1:110" hidden="1" x14ac:dyDescent="0.25">
      <c r="B41" s="55" t="s">
        <v>70</v>
      </c>
      <c r="D41" s="65"/>
      <c r="E41" s="67"/>
      <c r="F41" s="65"/>
      <c r="DF41" s="8" t="s">
        <v>514</v>
      </c>
    </row>
    <row r="42" spans="1:110" hidden="1" x14ac:dyDescent="0.25">
      <c r="B42" s="55" t="s">
        <v>70</v>
      </c>
      <c r="D42" s="65"/>
      <c r="E42" s="67"/>
      <c r="F42" s="65"/>
      <c r="DF42" s="8" t="s">
        <v>514</v>
      </c>
    </row>
    <row r="43" spans="1:110" x14ac:dyDescent="0.25">
      <c r="A43" s="24" t="s">
        <v>72</v>
      </c>
      <c r="B43" s="23" t="s">
        <v>73</v>
      </c>
      <c r="C43" s="11" t="s">
        <v>71</v>
      </c>
      <c r="D43" s="65">
        <v>179</v>
      </c>
      <c r="E43" s="67">
        <v>6</v>
      </c>
      <c r="F43" s="65">
        <f>PRODUCT($D$43,$E$43)</f>
        <v>1074</v>
      </c>
      <c r="DF43" s="8" t="s">
        <v>514</v>
      </c>
    </row>
    <row r="44" spans="1:110" hidden="1" x14ac:dyDescent="0.25">
      <c r="B44" s="55" t="s">
        <v>73</v>
      </c>
      <c r="D44" s="65"/>
      <c r="E44" s="67"/>
      <c r="F44" s="65"/>
      <c r="DF44" s="8" t="s">
        <v>514</v>
      </c>
    </row>
    <row r="45" spans="1:110" hidden="1" x14ac:dyDescent="0.25">
      <c r="B45" s="55" t="s">
        <v>73</v>
      </c>
      <c r="D45" s="65"/>
      <c r="E45" s="67"/>
      <c r="F45" s="65"/>
      <c r="DF45" s="8" t="s">
        <v>514</v>
      </c>
    </row>
    <row r="46" spans="1:110" x14ac:dyDescent="0.25">
      <c r="A46" s="24" t="s">
        <v>74</v>
      </c>
      <c r="B46" s="23" t="s">
        <v>75</v>
      </c>
      <c r="C46" s="11" t="s">
        <v>71</v>
      </c>
      <c r="D46" s="65">
        <v>78</v>
      </c>
      <c r="E46" s="67">
        <v>7</v>
      </c>
      <c r="F46" s="65">
        <f>PRODUCT($D$46,$E$46)</f>
        <v>546</v>
      </c>
      <c r="DF46" s="8" t="s">
        <v>514</v>
      </c>
    </row>
    <row r="47" spans="1:110" hidden="1" x14ac:dyDescent="0.25">
      <c r="B47" s="55" t="s">
        <v>75</v>
      </c>
      <c r="D47" s="65"/>
      <c r="E47" s="67"/>
      <c r="F47" s="65"/>
      <c r="DF47" s="8" t="s">
        <v>514</v>
      </c>
    </row>
    <row r="48" spans="1:110" hidden="1" x14ac:dyDescent="0.25">
      <c r="B48" s="55" t="s">
        <v>75</v>
      </c>
      <c r="D48" s="65"/>
      <c r="E48" s="67"/>
      <c r="F48" s="65"/>
      <c r="DF48" s="8" t="s">
        <v>514</v>
      </c>
    </row>
    <row r="49" spans="1:110" x14ac:dyDescent="0.25">
      <c r="A49" s="24" t="s">
        <v>76</v>
      </c>
      <c r="B49" s="23" t="s">
        <v>77</v>
      </c>
      <c r="C49" s="11" t="s">
        <v>42</v>
      </c>
      <c r="D49" s="65">
        <v>9</v>
      </c>
      <c r="E49" s="67">
        <v>44.380960000000002</v>
      </c>
      <c r="F49" s="65">
        <f>PRODUCT($D$49,$E$49)</f>
        <v>399.42864000000003</v>
      </c>
      <c r="DF49" s="8" t="s">
        <v>514</v>
      </c>
    </row>
    <row r="50" spans="1:110" hidden="1" x14ac:dyDescent="0.25">
      <c r="B50" s="55" t="s">
        <v>77</v>
      </c>
      <c r="D50" s="65"/>
      <c r="E50" s="67"/>
      <c r="F50" s="65"/>
      <c r="DF50" s="8" t="s">
        <v>514</v>
      </c>
    </row>
    <row r="51" spans="1:110" hidden="1" x14ac:dyDescent="0.25">
      <c r="B51" s="55" t="s">
        <v>77</v>
      </c>
      <c r="D51" s="65"/>
      <c r="E51" s="67"/>
      <c r="F51" s="65"/>
      <c r="DF51" s="8" t="s">
        <v>514</v>
      </c>
    </row>
    <row r="52" spans="1:110" x14ac:dyDescent="0.25">
      <c r="A52" s="24" t="s">
        <v>78</v>
      </c>
      <c r="B52" s="23" t="s">
        <v>79</v>
      </c>
      <c r="C52" s="11" t="s">
        <v>71</v>
      </c>
      <c r="D52" s="65">
        <v>670</v>
      </c>
      <c r="E52" s="67">
        <v>2</v>
      </c>
      <c r="F52" s="65">
        <f>PRODUCT($D$52,$E$52)</f>
        <v>1340</v>
      </c>
      <c r="DF52" s="8" t="s">
        <v>514</v>
      </c>
    </row>
    <row r="53" spans="1:110" hidden="1" x14ac:dyDescent="0.25">
      <c r="B53" s="55" t="s">
        <v>79</v>
      </c>
      <c r="D53" s="65"/>
      <c r="E53" s="67"/>
      <c r="F53" s="65"/>
      <c r="DF53" s="8" t="s">
        <v>514</v>
      </c>
    </row>
    <row r="54" spans="1:110" hidden="1" x14ac:dyDescent="0.25">
      <c r="B54" s="55" t="s">
        <v>79</v>
      </c>
      <c r="D54" s="65"/>
      <c r="E54" s="67"/>
      <c r="F54" s="65"/>
      <c r="DF54" s="8" t="s">
        <v>514</v>
      </c>
    </row>
    <row r="55" spans="1:110" x14ac:dyDescent="0.25">
      <c r="A55" s="24" t="s">
        <v>80</v>
      </c>
      <c r="B55" s="23" t="s">
        <v>81</v>
      </c>
      <c r="C55" s="11" t="s">
        <v>71</v>
      </c>
      <c r="D55" s="65">
        <v>820</v>
      </c>
      <c r="E55" s="67">
        <v>2</v>
      </c>
      <c r="F55" s="65">
        <f>PRODUCT($D$55,$E$55)</f>
        <v>1640</v>
      </c>
      <c r="DF55" s="8" t="s">
        <v>514</v>
      </c>
    </row>
    <row r="56" spans="1:110" hidden="1" x14ac:dyDescent="0.25">
      <c r="B56" s="55" t="s">
        <v>81</v>
      </c>
      <c r="D56" s="65"/>
      <c r="E56" s="67"/>
      <c r="F56" s="65"/>
      <c r="DF56" s="8" t="s">
        <v>514</v>
      </c>
    </row>
    <row r="57" spans="1:110" hidden="1" x14ac:dyDescent="0.25">
      <c r="B57" s="55" t="s">
        <v>81</v>
      </c>
      <c r="D57" s="65"/>
      <c r="E57" s="67"/>
      <c r="F57" s="65"/>
      <c r="DF57" s="8" t="s">
        <v>514</v>
      </c>
    </row>
    <row r="58" spans="1:110" x14ac:dyDescent="0.25">
      <c r="A58" s="24" t="s">
        <v>82</v>
      </c>
      <c r="B58" s="23" t="s">
        <v>83</v>
      </c>
      <c r="C58" s="11" t="s">
        <v>42</v>
      </c>
      <c r="D58" s="65">
        <v>7</v>
      </c>
      <c r="E58" s="67">
        <v>27.311360000000001</v>
      </c>
      <c r="F58" s="65">
        <f>PRODUCT($D$58,$E$58)</f>
        <v>191.17952</v>
      </c>
      <c r="DF58" s="8" t="s">
        <v>514</v>
      </c>
    </row>
    <row r="59" spans="1:110" hidden="1" x14ac:dyDescent="0.25">
      <c r="B59" s="55" t="s">
        <v>83</v>
      </c>
      <c r="D59" s="65"/>
      <c r="E59" s="67"/>
      <c r="F59" s="65"/>
      <c r="DF59" s="8" t="s">
        <v>514</v>
      </c>
    </row>
    <row r="60" spans="1:110" hidden="1" x14ac:dyDescent="0.25">
      <c r="B60" s="55" t="s">
        <v>83</v>
      </c>
      <c r="D60" s="65"/>
      <c r="E60" s="67"/>
      <c r="F60" s="65"/>
      <c r="DF60" s="8" t="s">
        <v>514</v>
      </c>
    </row>
    <row r="61" spans="1:110" x14ac:dyDescent="0.25">
      <c r="A61" s="24" t="s">
        <v>84</v>
      </c>
      <c r="B61" s="23" t="s">
        <v>85</v>
      </c>
      <c r="C61" s="11" t="s">
        <v>42</v>
      </c>
      <c r="D61" s="65">
        <v>38</v>
      </c>
      <c r="E61" s="67">
        <v>11.9</v>
      </c>
      <c r="F61" s="65">
        <f>PRODUCT($D$61,$E$61)</f>
        <v>452.2</v>
      </c>
      <c r="DF61" s="8" t="s">
        <v>514</v>
      </c>
    </row>
    <row r="62" spans="1:110" hidden="1" x14ac:dyDescent="0.25">
      <c r="B62" s="55" t="s">
        <v>85</v>
      </c>
      <c r="D62" s="65"/>
      <c r="E62" s="67"/>
      <c r="F62" s="65"/>
      <c r="DF62" s="8" t="s">
        <v>514</v>
      </c>
    </row>
    <row r="63" spans="1:110" hidden="1" x14ac:dyDescent="0.25">
      <c r="B63" s="55" t="s">
        <v>85</v>
      </c>
      <c r="D63" s="65"/>
      <c r="E63" s="67"/>
      <c r="F63" s="65"/>
      <c r="DF63" s="8" t="s">
        <v>514</v>
      </c>
    </row>
    <row r="64" spans="1:110" x14ac:dyDescent="0.25">
      <c r="A64" s="24" t="s">
        <v>86</v>
      </c>
      <c r="B64" s="23" t="s">
        <v>87</v>
      </c>
      <c r="C64" s="11" t="s">
        <v>71</v>
      </c>
      <c r="D64" s="65">
        <v>75</v>
      </c>
      <c r="E64" s="67">
        <v>16</v>
      </c>
      <c r="F64" s="65">
        <f>PRODUCT($D$64,$E$64)</f>
        <v>1200</v>
      </c>
      <c r="DF64" s="8" t="s">
        <v>514</v>
      </c>
    </row>
    <row r="65" spans="1:110" hidden="1" x14ac:dyDescent="0.25">
      <c r="B65" s="55" t="s">
        <v>87</v>
      </c>
      <c r="D65" s="65"/>
      <c r="E65" s="67"/>
      <c r="F65" s="65"/>
      <c r="DF65" s="8" t="s">
        <v>514</v>
      </c>
    </row>
    <row r="66" spans="1:110" hidden="1" x14ac:dyDescent="0.25">
      <c r="B66" s="55" t="s">
        <v>87</v>
      </c>
      <c r="D66" s="65"/>
      <c r="E66" s="67"/>
      <c r="F66" s="65"/>
      <c r="DF66" s="8" t="s">
        <v>514</v>
      </c>
    </row>
    <row r="67" spans="1:110" x14ac:dyDescent="0.25">
      <c r="A67" s="24" t="s">
        <v>88</v>
      </c>
      <c r="B67" s="23" t="s">
        <v>89</v>
      </c>
      <c r="C67" s="11" t="s">
        <v>71</v>
      </c>
      <c r="D67" s="65">
        <v>100</v>
      </c>
      <c r="E67" s="67">
        <v>9</v>
      </c>
      <c r="F67" s="65">
        <f>PRODUCT($D$67,$E$67)</f>
        <v>900</v>
      </c>
      <c r="DF67" s="8" t="s">
        <v>514</v>
      </c>
    </row>
    <row r="68" spans="1:110" hidden="1" x14ac:dyDescent="0.25">
      <c r="B68" s="55" t="s">
        <v>89</v>
      </c>
      <c r="D68" s="65"/>
      <c r="E68" s="67"/>
      <c r="F68" s="65"/>
      <c r="DF68" s="8" t="s">
        <v>514</v>
      </c>
    </row>
    <row r="69" spans="1:110" hidden="1" x14ac:dyDescent="0.25">
      <c r="B69" s="55" t="s">
        <v>89</v>
      </c>
      <c r="D69" s="65"/>
      <c r="E69" s="67"/>
      <c r="F69" s="65"/>
      <c r="DF69" s="8" t="s">
        <v>514</v>
      </c>
    </row>
    <row r="70" spans="1:110" x14ac:dyDescent="0.25">
      <c r="A70" s="24" t="s">
        <v>90</v>
      </c>
      <c r="B70" s="23" t="s">
        <v>91</v>
      </c>
      <c r="C70" s="11" t="s">
        <v>71</v>
      </c>
      <c r="D70" s="65">
        <v>100</v>
      </c>
      <c r="E70" s="67">
        <v>1</v>
      </c>
      <c r="F70" s="65">
        <f>PRODUCT($D$70,$E$70)</f>
        <v>100</v>
      </c>
      <c r="DF70" s="8" t="s">
        <v>514</v>
      </c>
    </row>
    <row r="71" spans="1:110" hidden="1" x14ac:dyDescent="0.25">
      <c r="B71" s="55" t="s">
        <v>91</v>
      </c>
      <c r="D71" s="65"/>
      <c r="E71" s="67"/>
      <c r="F71" s="65"/>
      <c r="DF71" s="8" t="s">
        <v>514</v>
      </c>
    </row>
    <row r="72" spans="1:110" hidden="1" x14ac:dyDescent="0.25">
      <c r="B72" s="55" t="s">
        <v>91</v>
      </c>
      <c r="D72" s="65"/>
      <c r="E72" s="67"/>
      <c r="F72" s="65"/>
      <c r="DF72" s="8" t="s">
        <v>514</v>
      </c>
    </row>
    <row r="73" spans="1:110" x14ac:dyDescent="0.25">
      <c r="A73" s="24" t="s">
        <v>92</v>
      </c>
      <c r="B73" s="23" t="s">
        <v>93</v>
      </c>
      <c r="C73" s="11" t="s">
        <v>71</v>
      </c>
      <c r="D73" s="65">
        <v>125</v>
      </c>
      <c r="E73" s="67">
        <v>9</v>
      </c>
      <c r="F73" s="65">
        <f>PRODUCT($D$73,$E$73)</f>
        <v>1125</v>
      </c>
      <c r="DF73" s="8" t="s">
        <v>514</v>
      </c>
    </row>
    <row r="74" spans="1:110" hidden="1" x14ac:dyDescent="0.25">
      <c r="B74" s="55" t="s">
        <v>93</v>
      </c>
      <c r="D74" s="65"/>
      <c r="E74" s="67"/>
      <c r="F74" s="65"/>
      <c r="DF74" s="8" t="s">
        <v>514</v>
      </c>
    </row>
    <row r="75" spans="1:110" hidden="1" x14ac:dyDescent="0.25">
      <c r="B75" s="55" t="s">
        <v>93</v>
      </c>
      <c r="D75" s="65"/>
      <c r="E75" s="67"/>
      <c r="F75" s="65"/>
      <c r="DF75" s="8" t="s">
        <v>514</v>
      </c>
    </row>
    <row r="76" spans="1:110" x14ac:dyDescent="0.25">
      <c r="A76" s="24" t="s">
        <v>94</v>
      </c>
      <c r="B76" s="23" t="s">
        <v>95</v>
      </c>
      <c r="C76" s="11" t="s">
        <v>71</v>
      </c>
      <c r="D76" s="65">
        <v>140</v>
      </c>
      <c r="E76" s="67">
        <v>5</v>
      </c>
      <c r="F76" s="65">
        <f>PRODUCT($D$76,$E$76)</f>
        <v>700</v>
      </c>
      <c r="DF76" s="8" t="s">
        <v>514</v>
      </c>
    </row>
    <row r="77" spans="1:110" hidden="1" x14ac:dyDescent="0.25">
      <c r="B77" s="55" t="s">
        <v>95</v>
      </c>
      <c r="D77" s="65"/>
      <c r="E77" s="67"/>
      <c r="F77" s="65"/>
      <c r="DF77" s="8" t="s">
        <v>514</v>
      </c>
    </row>
    <row r="78" spans="1:110" hidden="1" x14ac:dyDescent="0.25">
      <c r="B78" s="55" t="s">
        <v>95</v>
      </c>
      <c r="D78" s="65"/>
      <c r="E78" s="67"/>
      <c r="F78" s="65"/>
      <c r="DF78" s="8" t="s">
        <v>514</v>
      </c>
    </row>
    <row r="79" spans="1:110" x14ac:dyDescent="0.25">
      <c r="A79" s="24" t="s">
        <v>96</v>
      </c>
      <c r="B79" s="23" t="s">
        <v>97</v>
      </c>
      <c r="C79" s="11" t="s">
        <v>71</v>
      </c>
      <c r="D79" s="65"/>
      <c r="E79" s="67"/>
      <c r="F79" s="65"/>
      <c r="DF79" s="8" t="s">
        <v>514</v>
      </c>
    </row>
    <row r="80" spans="1:110" hidden="1" x14ac:dyDescent="0.25">
      <c r="B80" s="55" t="s">
        <v>97</v>
      </c>
      <c r="D80" s="65"/>
      <c r="E80" s="67"/>
      <c r="F80" s="65"/>
      <c r="DF80" s="8" t="s">
        <v>514</v>
      </c>
    </row>
    <row r="81" spans="1:110" hidden="1" x14ac:dyDescent="0.25">
      <c r="B81" s="55" t="s">
        <v>97</v>
      </c>
      <c r="D81" s="65"/>
      <c r="E81" s="67"/>
      <c r="F81" s="65"/>
      <c r="DF81" s="8" t="s">
        <v>514</v>
      </c>
    </row>
    <row r="82" spans="1:110" x14ac:dyDescent="0.25">
      <c r="A82" s="24" t="s">
        <v>98</v>
      </c>
      <c r="B82" s="23" t="s">
        <v>99</v>
      </c>
      <c r="C82" s="11" t="s">
        <v>71</v>
      </c>
      <c r="D82" s="65"/>
      <c r="E82" s="67"/>
      <c r="F82" s="65"/>
      <c r="DF82" s="8" t="s">
        <v>514</v>
      </c>
    </row>
    <row r="83" spans="1:110" hidden="1" x14ac:dyDescent="0.25">
      <c r="B83" s="55" t="s">
        <v>99</v>
      </c>
      <c r="D83" s="65"/>
      <c r="E83" s="67"/>
      <c r="F83" s="65"/>
      <c r="DF83" s="8" t="s">
        <v>514</v>
      </c>
    </row>
    <row r="84" spans="1:110" hidden="1" x14ac:dyDescent="0.25">
      <c r="B84" s="55" t="s">
        <v>99</v>
      </c>
      <c r="D84" s="65"/>
      <c r="E84" s="67"/>
      <c r="F84" s="65"/>
      <c r="DF84" s="8" t="s">
        <v>514</v>
      </c>
    </row>
    <row r="85" spans="1:110" x14ac:dyDescent="0.25">
      <c r="A85" s="24" t="s">
        <v>100</v>
      </c>
      <c r="B85" s="23" t="s">
        <v>101</v>
      </c>
      <c r="C85" s="11" t="s">
        <v>71</v>
      </c>
      <c r="D85" s="65">
        <v>173</v>
      </c>
      <c r="E85" s="67">
        <v>3</v>
      </c>
      <c r="F85" s="65">
        <f>PRODUCT($D$85,$E$85)</f>
        <v>519</v>
      </c>
      <c r="DF85" s="8" t="s">
        <v>514</v>
      </c>
    </row>
    <row r="86" spans="1:110" hidden="1" x14ac:dyDescent="0.25">
      <c r="B86" s="55" t="s">
        <v>101</v>
      </c>
      <c r="D86" s="65"/>
      <c r="E86" s="67"/>
      <c r="F86" s="65"/>
      <c r="DF86" s="8" t="s">
        <v>514</v>
      </c>
    </row>
    <row r="87" spans="1:110" hidden="1" x14ac:dyDescent="0.25">
      <c r="B87" s="55" t="s">
        <v>101</v>
      </c>
      <c r="D87" s="65"/>
      <c r="E87" s="67"/>
      <c r="F87" s="65"/>
      <c r="DF87" s="8" t="s">
        <v>514</v>
      </c>
    </row>
    <row r="88" spans="1:110" x14ac:dyDescent="0.25">
      <c r="A88" s="24" t="s">
        <v>102</v>
      </c>
      <c r="B88" s="23" t="s">
        <v>103</v>
      </c>
      <c r="C88" s="11" t="s">
        <v>71</v>
      </c>
      <c r="D88" s="65">
        <v>173</v>
      </c>
      <c r="E88" s="67">
        <v>4</v>
      </c>
      <c r="F88" s="65">
        <f>PRODUCT($D$88,$E$88)</f>
        <v>692</v>
      </c>
      <c r="DF88" s="8" t="s">
        <v>514</v>
      </c>
    </row>
    <row r="89" spans="1:110" hidden="1" x14ac:dyDescent="0.25">
      <c r="B89" s="55" t="s">
        <v>103</v>
      </c>
      <c r="D89" s="65"/>
      <c r="E89" s="67"/>
      <c r="F89" s="65"/>
      <c r="DF89" s="8" t="s">
        <v>514</v>
      </c>
    </row>
    <row r="90" spans="1:110" hidden="1" x14ac:dyDescent="0.25">
      <c r="B90" s="55" t="s">
        <v>103</v>
      </c>
      <c r="D90" s="65"/>
      <c r="E90" s="67"/>
      <c r="F90" s="65"/>
      <c r="DF90" s="8" t="s">
        <v>514</v>
      </c>
    </row>
    <row r="91" spans="1:110" x14ac:dyDescent="0.25">
      <c r="A91" s="24" t="s">
        <v>104</v>
      </c>
      <c r="B91" s="23" t="s">
        <v>105</v>
      </c>
      <c r="C91" s="11" t="s">
        <v>71</v>
      </c>
      <c r="D91" s="65">
        <v>212</v>
      </c>
      <c r="E91" s="67">
        <v>8</v>
      </c>
      <c r="F91" s="65">
        <f>PRODUCT($D$91,$E$91)</f>
        <v>1696</v>
      </c>
      <c r="DF91" s="8" t="s">
        <v>514</v>
      </c>
    </row>
    <row r="92" spans="1:110" hidden="1" x14ac:dyDescent="0.25">
      <c r="B92" s="55" t="s">
        <v>105</v>
      </c>
      <c r="D92" s="65"/>
      <c r="E92" s="67"/>
      <c r="F92" s="65"/>
      <c r="DF92" s="8" t="s">
        <v>514</v>
      </c>
    </row>
    <row r="93" spans="1:110" hidden="1" x14ac:dyDescent="0.25">
      <c r="B93" s="55" t="s">
        <v>105</v>
      </c>
      <c r="D93" s="65"/>
      <c r="E93" s="67"/>
      <c r="F93" s="65"/>
      <c r="DF93" s="8" t="s">
        <v>514</v>
      </c>
    </row>
    <row r="94" spans="1:110" x14ac:dyDescent="0.25">
      <c r="A94" s="24" t="s">
        <v>106</v>
      </c>
      <c r="B94" s="23" t="s">
        <v>107</v>
      </c>
      <c r="C94" s="11" t="s">
        <v>71</v>
      </c>
      <c r="D94" s="65">
        <v>150</v>
      </c>
      <c r="E94" s="67">
        <v>2</v>
      </c>
      <c r="F94" s="65">
        <f>PRODUCT($D$94,$E$94)</f>
        <v>300</v>
      </c>
      <c r="DF94" s="8" t="s">
        <v>514</v>
      </c>
    </row>
    <row r="95" spans="1:110" hidden="1" x14ac:dyDescent="0.25">
      <c r="B95" s="55" t="s">
        <v>107</v>
      </c>
      <c r="D95" s="65"/>
      <c r="E95" s="67"/>
      <c r="F95" s="65"/>
      <c r="DF95" s="8" t="s">
        <v>514</v>
      </c>
    </row>
    <row r="96" spans="1:110" hidden="1" x14ac:dyDescent="0.25">
      <c r="B96" s="55" t="s">
        <v>107</v>
      </c>
      <c r="D96" s="65"/>
      <c r="E96" s="67"/>
      <c r="F96" s="65"/>
      <c r="DF96" s="8" t="s">
        <v>514</v>
      </c>
    </row>
    <row r="97" spans="1:110" x14ac:dyDescent="0.25">
      <c r="A97" s="24" t="s">
        <v>108</v>
      </c>
      <c r="B97" s="23" t="s">
        <v>109</v>
      </c>
      <c r="C97" s="11" t="s">
        <v>71</v>
      </c>
      <c r="D97" s="65">
        <v>95</v>
      </c>
      <c r="E97" s="67">
        <v>11</v>
      </c>
      <c r="F97" s="65">
        <f>PRODUCT($D$97,$E$97)</f>
        <v>1045</v>
      </c>
      <c r="DF97" s="8" t="s">
        <v>514</v>
      </c>
    </row>
    <row r="98" spans="1:110" hidden="1" x14ac:dyDescent="0.25">
      <c r="B98" s="55" t="s">
        <v>109</v>
      </c>
      <c r="D98" s="65"/>
      <c r="E98" s="67"/>
      <c r="F98" s="65"/>
      <c r="DF98" s="8" t="s">
        <v>514</v>
      </c>
    </row>
    <row r="99" spans="1:110" hidden="1" x14ac:dyDescent="0.25">
      <c r="B99" s="55" t="s">
        <v>109</v>
      </c>
      <c r="D99" s="65"/>
      <c r="E99" s="67"/>
      <c r="F99" s="65"/>
      <c r="DF99" s="8" t="s">
        <v>514</v>
      </c>
    </row>
    <row r="100" spans="1:110" x14ac:dyDescent="0.25">
      <c r="A100" s="24" t="s">
        <v>110</v>
      </c>
      <c r="B100" s="23" t="s">
        <v>111</v>
      </c>
      <c r="C100" s="11" t="s">
        <v>71</v>
      </c>
      <c r="D100" s="65">
        <v>68</v>
      </c>
      <c r="E100" s="67">
        <v>1</v>
      </c>
      <c r="F100" s="65">
        <f>PRODUCT($D$100,$E$100)</f>
        <v>68</v>
      </c>
      <c r="DF100" s="8" t="s">
        <v>514</v>
      </c>
    </row>
    <row r="101" spans="1:110" hidden="1" x14ac:dyDescent="0.25">
      <c r="B101" s="55" t="s">
        <v>111</v>
      </c>
      <c r="D101" s="65"/>
      <c r="E101" s="67"/>
      <c r="F101" s="65"/>
      <c r="DF101" s="8" t="s">
        <v>514</v>
      </c>
    </row>
    <row r="102" spans="1:110" hidden="1" x14ac:dyDescent="0.25">
      <c r="B102" s="55" t="s">
        <v>111</v>
      </c>
      <c r="D102" s="65"/>
      <c r="E102" s="67"/>
      <c r="F102" s="65"/>
      <c r="DF102" s="8" t="s">
        <v>514</v>
      </c>
    </row>
    <row r="103" spans="1:110" x14ac:dyDescent="0.25">
      <c r="A103" s="24" t="s">
        <v>112</v>
      </c>
      <c r="B103" s="23" t="s">
        <v>113</v>
      </c>
      <c r="C103" s="11" t="s">
        <v>58</v>
      </c>
      <c r="D103" s="65">
        <v>20</v>
      </c>
      <c r="E103" s="67">
        <v>32.283999999999999</v>
      </c>
      <c r="F103" s="65">
        <f>PRODUCT($D$103,$E$103)</f>
        <v>645.67999999999995</v>
      </c>
      <c r="DF103" s="8" t="s">
        <v>514</v>
      </c>
    </row>
    <row r="104" spans="1:110" hidden="1" x14ac:dyDescent="0.25">
      <c r="B104" s="55" t="s">
        <v>113</v>
      </c>
      <c r="D104" s="65"/>
      <c r="E104" s="67"/>
      <c r="F104" s="65"/>
      <c r="DF104" s="8" t="s">
        <v>514</v>
      </c>
    </row>
    <row r="105" spans="1:110" hidden="1" x14ac:dyDescent="0.25">
      <c r="B105" s="55" t="s">
        <v>113</v>
      </c>
      <c r="D105" s="65"/>
      <c r="E105" s="67"/>
      <c r="F105" s="65"/>
      <c r="DF105" s="8" t="s">
        <v>514</v>
      </c>
    </row>
    <row r="106" spans="1:110" x14ac:dyDescent="0.25">
      <c r="A106" s="24" t="s">
        <v>114</v>
      </c>
      <c r="B106" s="23" t="s">
        <v>115</v>
      </c>
      <c r="C106" s="11" t="s">
        <v>58</v>
      </c>
      <c r="D106" s="65">
        <v>22</v>
      </c>
      <c r="E106" s="67">
        <v>8.7439999999999998</v>
      </c>
      <c r="F106" s="65">
        <f>PRODUCT($D$106,$E$106)</f>
        <v>192.36799999999999</v>
      </c>
      <c r="DF106" s="8" t="s">
        <v>514</v>
      </c>
    </row>
    <row r="107" spans="1:110" hidden="1" x14ac:dyDescent="0.25">
      <c r="B107" s="55" t="s">
        <v>115</v>
      </c>
      <c r="D107" s="65"/>
      <c r="E107" s="67"/>
      <c r="F107" s="65"/>
      <c r="DF107" s="8" t="s">
        <v>514</v>
      </c>
    </row>
    <row r="108" spans="1:110" hidden="1" x14ac:dyDescent="0.25">
      <c r="B108" s="55" t="s">
        <v>115</v>
      </c>
      <c r="D108" s="65"/>
      <c r="E108" s="67"/>
      <c r="F108" s="65"/>
      <c r="DF108" s="8" t="s">
        <v>514</v>
      </c>
    </row>
    <row r="109" spans="1:110" x14ac:dyDescent="0.25">
      <c r="A109" s="24" t="s">
        <v>116</v>
      </c>
      <c r="B109" s="23" t="s">
        <v>117</v>
      </c>
      <c r="C109" s="11" t="s">
        <v>58</v>
      </c>
      <c r="D109" s="65">
        <v>68</v>
      </c>
      <c r="E109" s="67">
        <v>23.414999999999999</v>
      </c>
      <c r="F109" s="65">
        <f>PRODUCT($D$109,$E$109)</f>
        <v>1592.22</v>
      </c>
      <c r="DF109" s="8" t="s">
        <v>514</v>
      </c>
    </row>
    <row r="110" spans="1:110" hidden="1" x14ac:dyDescent="0.25">
      <c r="B110" s="55" t="s">
        <v>117</v>
      </c>
      <c r="D110" s="65"/>
      <c r="E110" s="67"/>
      <c r="F110" s="65"/>
      <c r="DF110" s="8" t="s">
        <v>514</v>
      </c>
    </row>
    <row r="111" spans="1:110" hidden="1" x14ac:dyDescent="0.25">
      <c r="B111" s="55" t="s">
        <v>117</v>
      </c>
      <c r="D111" s="65"/>
      <c r="E111" s="67"/>
      <c r="F111" s="65"/>
      <c r="DF111" s="8" t="s">
        <v>514</v>
      </c>
    </row>
    <row r="112" spans="1:110" x14ac:dyDescent="0.25">
      <c r="A112" s="24" t="s">
        <v>118</v>
      </c>
      <c r="B112" s="23" t="s">
        <v>119</v>
      </c>
      <c r="C112" s="11" t="s">
        <v>58</v>
      </c>
      <c r="D112" s="65">
        <v>108</v>
      </c>
      <c r="E112" s="67">
        <v>68.542000000000002</v>
      </c>
      <c r="F112" s="65">
        <f>PRODUCT($D$112,$E$112)</f>
        <v>7402.5360000000001</v>
      </c>
      <c r="DF112" s="8" t="s">
        <v>514</v>
      </c>
    </row>
    <row r="113" spans="1:110" hidden="1" x14ac:dyDescent="0.25">
      <c r="B113" s="55" t="s">
        <v>119</v>
      </c>
      <c r="D113" s="65"/>
      <c r="E113" s="67"/>
      <c r="F113" s="65"/>
      <c r="DF113" s="8" t="s">
        <v>514</v>
      </c>
    </row>
    <row r="114" spans="1:110" hidden="1" x14ac:dyDescent="0.25">
      <c r="B114" s="55" t="s">
        <v>119</v>
      </c>
      <c r="D114" s="65"/>
      <c r="E114" s="67"/>
      <c r="F114" s="65"/>
      <c r="DF114" s="8" t="s">
        <v>514</v>
      </c>
    </row>
    <row r="115" spans="1:110" x14ac:dyDescent="0.25">
      <c r="A115" s="24" t="s">
        <v>120</v>
      </c>
      <c r="B115" s="23" t="s">
        <v>121</v>
      </c>
      <c r="C115" s="11" t="s">
        <v>58</v>
      </c>
      <c r="D115" s="65">
        <v>45</v>
      </c>
      <c r="E115" s="67">
        <v>13.948</v>
      </c>
      <c r="F115" s="65">
        <f>PRODUCT($D$115,$E$115)</f>
        <v>627.66</v>
      </c>
      <c r="DF115" s="8" t="s">
        <v>514</v>
      </c>
    </row>
    <row r="116" spans="1:110" hidden="1" x14ac:dyDescent="0.25">
      <c r="B116" s="55" t="s">
        <v>121</v>
      </c>
      <c r="D116" s="65"/>
      <c r="E116" s="67"/>
      <c r="F116" s="65"/>
      <c r="DF116" s="8" t="s">
        <v>514</v>
      </c>
    </row>
    <row r="117" spans="1:110" hidden="1" x14ac:dyDescent="0.25">
      <c r="B117" s="55" t="s">
        <v>121</v>
      </c>
      <c r="D117" s="65"/>
      <c r="E117" s="67"/>
      <c r="F117" s="65"/>
      <c r="DF117" s="8" t="s">
        <v>514</v>
      </c>
    </row>
    <row r="118" spans="1:110" x14ac:dyDescent="0.25">
      <c r="A118" s="24" t="s">
        <v>122</v>
      </c>
      <c r="B118" s="23" t="s">
        <v>123</v>
      </c>
      <c r="C118" s="11" t="s">
        <v>58</v>
      </c>
      <c r="D118" s="65">
        <v>96</v>
      </c>
      <c r="E118" s="67">
        <v>22.922999999999998</v>
      </c>
      <c r="F118" s="65">
        <f>PRODUCT($D$118,$E$118)</f>
        <v>2200.6079999999997</v>
      </c>
      <c r="DF118" s="8" t="s">
        <v>514</v>
      </c>
    </row>
    <row r="119" spans="1:110" hidden="1" x14ac:dyDescent="0.25">
      <c r="B119" s="55" t="s">
        <v>123</v>
      </c>
      <c r="D119" s="65"/>
      <c r="E119" s="67"/>
      <c r="F119" s="65"/>
      <c r="DF119" s="8" t="s">
        <v>514</v>
      </c>
    </row>
    <row r="120" spans="1:110" hidden="1" x14ac:dyDescent="0.25">
      <c r="B120" s="55" t="s">
        <v>123</v>
      </c>
      <c r="D120" s="65"/>
      <c r="E120" s="67"/>
      <c r="F120" s="65"/>
      <c r="DF120" s="8" t="s">
        <v>514</v>
      </c>
    </row>
    <row r="121" spans="1:110" x14ac:dyDescent="0.25">
      <c r="A121" s="24" t="s">
        <v>124</v>
      </c>
      <c r="B121" s="23" t="s">
        <v>125</v>
      </c>
      <c r="C121" s="11" t="s">
        <v>58</v>
      </c>
      <c r="D121" s="65">
        <v>92</v>
      </c>
      <c r="E121" s="67">
        <v>16.821999999999999</v>
      </c>
      <c r="F121" s="65">
        <f>PRODUCT($D$121,$E$121)</f>
        <v>1547.624</v>
      </c>
      <c r="DF121" s="8" t="s">
        <v>514</v>
      </c>
    </row>
    <row r="122" spans="1:110" hidden="1" x14ac:dyDescent="0.25">
      <c r="B122" s="55" t="s">
        <v>125</v>
      </c>
      <c r="D122" s="65"/>
      <c r="E122" s="67"/>
      <c r="F122" s="65"/>
      <c r="DF122" s="8" t="s">
        <v>514</v>
      </c>
    </row>
    <row r="123" spans="1:110" hidden="1" x14ac:dyDescent="0.25">
      <c r="B123" s="55" t="s">
        <v>125</v>
      </c>
      <c r="D123" s="65"/>
      <c r="E123" s="67"/>
      <c r="F123" s="65"/>
      <c r="DF123" s="8" t="s">
        <v>514</v>
      </c>
    </row>
    <row r="124" spans="1:110" x14ac:dyDescent="0.25">
      <c r="A124" s="24" t="s">
        <v>126</v>
      </c>
      <c r="B124" s="23" t="s">
        <v>127</v>
      </c>
      <c r="C124" s="11" t="s">
        <v>58</v>
      </c>
      <c r="D124" s="65">
        <v>105</v>
      </c>
      <c r="E124" s="67">
        <v>108.703</v>
      </c>
      <c r="F124" s="65">
        <f>PRODUCT($D$124,$E$124)</f>
        <v>11413.815000000001</v>
      </c>
      <c r="DF124" s="8" t="s">
        <v>514</v>
      </c>
    </row>
    <row r="125" spans="1:110" hidden="1" x14ac:dyDescent="0.25">
      <c r="B125" s="55" t="s">
        <v>127</v>
      </c>
      <c r="D125" s="65"/>
      <c r="E125" s="67"/>
      <c r="F125" s="65"/>
      <c r="DF125" s="8" t="s">
        <v>514</v>
      </c>
    </row>
    <row r="126" spans="1:110" hidden="1" x14ac:dyDescent="0.25">
      <c r="B126" s="55" t="s">
        <v>127</v>
      </c>
      <c r="D126" s="65"/>
      <c r="E126" s="67"/>
      <c r="F126" s="65"/>
      <c r="DF126" s="8" t="s">
        <v>514</v>
      </c>
    </row>
    <row r="127" spans="1:110" x14ac:dyDescent="0.25">
      <c r="A127" s="24" t="s">
        <v>128</v>
      </c>
      <c r="B127" s="23" t="s">
        <v>129</v>
      </c>
      <c r="C127" s="11" t="s">
        <v>58</v>
      </c>
      <c r="D127" s="65">
        <v>73</v>
      </c>
      <c r="E127" s="67">
        <v>6.0920000000000005</v>
      </c>
      <c r="F127" s="65">
        <f>PRODUCT($D$127,$E$127)</f>
        <v>444.71600000000007</v>
      </c>
      <c r="DF127" s="8" t="s">
        <v>514</v>
      </c>
    </row>
    <row r="128" spans="1:110" hidden="1" x14ac:dyDescent="0.25">
      <c r="B128" s="55" t="s">
        <v>129</v>
      </c>
      <c r="D128" s="65"/>
      <c r="E128" s="67"/>
      <c r="F128" s="65"/>
      <c r="DF128" s="8" t="s">
        <v>514</v>
      </c>
    </row>
    <row r="129" spans="1:110" hidden="1" x14ac:dyDescent="0.25">
      <c r="B129" s="55" t="s">
        <v>129</v>
      </c>
      <c r="D129" s="65"/>
      <c r="E129" s="67"/>
      <c r="F129" s="65"/>
      <c r="DF129" s="8" t="s">
        <v>514</v>
      </c>
    </row>
    <row r="130" spans="1:110" x14ac:dyDescent="0.25">
      <c r="A130" s="24" t="s">
        <v>130</v>
      </c>
      <c r="B130" s="23" t="s">
        <v>131</v>
      </c>
      <c r="C130" s="11" t="s">
        <v>71</v>
      </c>
      <c r="D130" s="65">
        <v>40</v>
      </c>
      <c r="E130" s="67">
        <v>9</v>
      </c>
      <c r="F130" s="65">
        <f>PRODUCT($D$130,$E$130)</f>
        <v>360</v>
      </c>
      <c r="DF130" s="8" t="s">
        <v>514</v>
      </c>
    </row>
    <row r="131" spans="1:110" hidden="1" x14ac:dyDescent="0.25">
      <c r="B131" s="55" t="s">
        <v>131</v>
      </c>
      <c r="D131" s="65"/>
      <c r="E131" s="67"/>
      <c r="F131" s="65"/>
      <c r="DF131" s="8" t="s">
        <v>514</v>
      </c>
    </row>
    <row r="132" spans="1:110" hidden="1" x14ac:dyDescent="0.25">
      <c r="B132" s="55" t="s">
        <v>131</v>
      </c>
      <c r="D132" s="65"/>
      <c r="E132" s="67"/>
      <c r="F132" s="65"/>
      <c r="DF132" s="8" t="s">
        <v>514</v>
      </c>
    </row>
    <row r="133" spans="1:110" x14ac:dyDescent="0.25">
      <c r="A133" s="24" t="s">
        <v>132</v>
      </c>
      <c r="B133" s="23" t="s">
        <v>133</v>
      </c>
      <c r="C133" s="11" t="s">
        <v>134</v>
      </c>
      <c r="D133" s="65">
        <v>165</v>
      </c>
      <c r="E133" s="67">
        <v>7</v>
      </c>
      <c r="F133" s="65">
        <f>PRODUCT($D$133,$E$133)</f>
        <v>1155</v>
      </c>
      <c r="DF133" s="8" t="s">
        <v>514</v>
      </c>
    </row>
    <row r="134" spans="1:110" hidden="1" x14ac:dyDescent="0.25">
      <c r="B134" s="55" t="s">
        <v>133</v>
      </c>
      <c r="D134" s="65"/>
      <c r="E134" s="67"/>
      <c r="F134" s="65"/>
      <c r="DF134" s="8" t="s">
        <v>514</v>
      </c>
    </row>
    <row r="135" spans="1:110" hidden="1" x14ac:dyDescent="0.25">
      <c r="B135" s="55" t="s">
        <v>133</v>
      </c>
      <c r="D135" s="65"/>
      <c r="E135" s="67"/>
      <c r="F135" s="65"/>
      <c r="DF135" s="8" t="s">
        <v>514</v>
      </c>
    </row>
    <row r="136" spans="1:110" x14ac:dyDescent="0.25">
      <c r="A136" s="24" t="s">
        <v>135</v>
      </c>
      <c r="B136" s="23" t="s">
        <v>136</v>
      </c>
      <c r="C136" s="11" t="s">
        <v>134</v>
      </c>
      <c r="D136" s="65">
        <v>195</v>
      </c>
      <c r="E136" s="67">
        <v>4</v>
      </c>
      <c r="F136" s="65">
        <f>PRODUCT($D$136,$E$136)</f>
        <v>780</v>
      </c>
      <c r="DF136" s="8" t="s">
        <v>514</v>
      </c>
    </row>
    <row r="137" spans="1:110" hidden="1" x14ac:dyDescent="0.25">
      <c r="B137" s="55" t="s">
        <v>136</v>
      </c>
      <c r="D137" s="65"/>
      <c r="E137" s="67"/>
      <c r="F137" s="65"/>
      <c r="DF137" s="8" t="s">
        <v>514</v>
      </c>
    </row>
    <row r="138" spans="1:110" hidden="1" x14ac:dyDescent="0.25">
      <c r="B138" s="55" t="s">
        <v>136</v>
      </c>
      <c r="D138" s="65"/>
      <c r="E138" s="67"/>
      <c r="F138" s="65"/>
      <c r="DF138" s="8" t="s">
        <v>514</v>
      </c>
    </row>
    <row r="139" spans="1:110" x14ac:dyDescent="0.25">
      <c r="A139" s="24" t="s">
        <v>137</v>
      </c>
      <c r="B139" s="23" t="s">
        <v>138</v>
      </c>
      <c r="C139" s="11" t="s">
        <v>71</v>
      </c>
      <c r="D139" s="65">
        <v>195</v>
      </c>
      <c r="E139" s="67">
        <v>1</v>
      </c>
      <c r="F139" s="65">
        <f>PRODUCT($D$139,$E$139)</f>
        <v>195</v>
      </c>
      <c r="DF139" s="8" t="s">
        <v>514</v>
      </c>
    </row>
    <row r="140" spans="1:110" hidden="1" x14ac:dyDescent="0.25">
      <c r="B140" s="55" t="s">
        <v>138</v>
      </c>
      <c r="D140" s="65"/>
      <c r="E140" s="67"/>
      <c r="F140" s="65"/>
      <c r="DF140" s="8" t="s">
        <v>514</v>
      </c>
    </row>
    <row r="141" spans="1:110" hidden="1" x14ac:dyDescent="0.25">
      <c r="B141" s="55" t="s">
        <v>138</v>
      </c>
      <c r="D141" s="65"/>
      <c r="E141" s="67"/>
      <c r="F141" s="65"/>
      <c r="DF141" s="8" t="s">
        <v>514</v>
      </c>
    </row>
    <row r="142" spans="1:110" x14ac:dyDescent="0.25">
      <c r="A142" s="24" t="s">
        <v>139</v>
      </c>
      <c r="B142" s="23" t="s">
        <v>140</v>
      </c>
      <c r="C142" s="11" t="s">
        <v>71</v>
      </c>
      <c r="D142" s="65"/>
      <c r="E142" s="67"/>
      <c r="F142" s="65"/>
      <c r="DF142" s="8" t="s">
        <v>514</v>
      </c>
    </row>
    <row r="143" spans="1:110" hidden="1" x14ac:dyDescent="0.25">
      <c r="B143" s="55" t="s">
        <v>140</v>
      </c>
      <c r="D143" s="65"/>
      <c r="E143" s="67"/>
      <c r="F143" s="65"/>
      <c r="DF143" s="8" t="s">
        <v>514</v>
      </c>
    </row>
    <row r="144" spans="1:110" hidden="1" x14ac:dyDescent="0.25">
      <c r="B144" s="55" t="s">
        <v>140</v>
      </c>
      <c r="D144" s="65"/>
      <c r="E144" s="67"/>
      <c r="F144" s="65"/>
      <c r="DF144" s="8" t="s">
        <v>514</v>
      </c>
    </row>
    <row r="145" spans="1:110" x14ac:dyDescent="0.25">
      <c r="A145" s="24" t="s">
        <v>141</v>
      </c>
      <c r="B145" s="23" t="s">
        <v>142</v>
      </c>
      <c r="C145" s="11" t="s">
        <v>71</v>
      </c>
      <c r="D145" s="65">
        <v>380</v>
      </c>
      <c r="E145" s="67">
        <v>2</v>
      </c>
      <c r="F145" s="65">
        <f>PRODUCT($D$145,$E$145)</f>
        <v>760</v>
      </c>
      <c r="DF145" s="8" t="s">
        <v>514</v>
      </c>
    </row>
    <row r="146" spans="1:110" hidden="1" x14ac:dyDescent="0.25">
      <c r="B146" s="55" t="s">
        <v>142</v>
      </c>
      <c r="D146" s="65"/>
      <c r="E146" s="67"/>
      <c r="F146" s="65"/>
      <c r="DF146" s="8" t="s">
        <v>514</v>
      </c>
    </row>
    <row r="147" spans="1:110" hidden="1" x14ac:dyDescent="0.25">
      <c r="B147" s="55" t="s">
        <v>142</v>
      </c>
      <c r="D147" s="65"/>
      <c r="E147" s="67"/>
      <c r="F147" s="65"/>
      <c r="DF147" s="8" t="s">
        <v>514</v>
      </c>
    </row>
    <row r="148" spans="1:110" x14ac:dyDescent="0.25">
      <c r="A148" s="24" t="s">
        <v>143</v>
      </c>
      <c r="B148" s="23" t="s">
        <v>144</v>
      </c>
      <c r="C148" s="11" t="s">
        <v>71</v>
      </c>
      <c r="D148" s="65">
        <v>480</v>
      </c>
      <c r="E148" s="67">
        <v>1</v>
      </c>
      <c r="F148" s="65">
        <f>PRODUCT($D$148,$E$148)</f>
        <v>480</v>
      </c>
      <c r="DF148" s="8" t="s">
        <v>514</v>
      </c>
    </row>
    <row r="149" spans="1:110" hidden="1" x14ac:dyDescent="0.25">
      <c r="B149" s="55" t="s">
        <v>144</v>
      </c>
      <c r="D149" s="65"/>
      <c r="E149" s="67"/>
      <c r="F149" s="65"/>
      <c r="DF149" s="8" t="s">
        <v>514</v>
      </c>
    </row>
    <row r="150" spans="1:110" hidden="1" x14ac:dyDescent="0.25">
      <c r="B150" s="55" t="s">
        <v>144</v>
      </c>
      <c r="D150" s="65"/>
      <c r="E150" s="67"/>
      <c r="F150" s="65"/>
      <c r="DF150" s="8" t="s">
        <v>514</v>
      </c>
    </row>
    <row r="151" spans="1:110" x14ac:dyDescent="0.25">
      <c r="A151" s="24" t="s">
        <v>145</v>
      </c>
      <c r="B151" s="23" t="s">
        <v>146</v>
      </c>
      <c r="C151" s="11" t="s">
        <v>71</v>
      </c>
      <c r="D151" s="65">
        <v>420</v>
      </c>
      <c r="E151" s="67">
        <v>1</v>
      </c>
      <c r="F151" s="65">
        <f>PRODUCT($D$151,$E$151)</f>
        <v>420</v>
      </c>
      <c r="DF151" s="8" t="s">
        <v>514</v>
      </c>
    </row>
    <row r="152" spans="1:110" hidden="1" x14ac:dyDescent="0.25">
      <c r="B152" s="55" t="s">
        <v>146</v>
      </c>
      <c r="D152" s="65"/>
      <c r="E152" s="67"/>
      <c r="F152" s="65"/>
      <c r="DF152" s="8" t="s">
        <v>514</v>
      </c>
    </row>
    <row r="153" spans="1:110" hidden="1" x14ac:dyDescent="0.25">
      <c r="B153" s="55" t="s">
        <v>146</v>
      </c>
      <c r="D153" s="65"/>
      <c r="E153" s="67"/>
      <c r="F153" s="65"/>
      <c r="DF153" s="8" t="s">
        <v>514</v>
      </c>
    </row>
    <row r="154" spans="1:110" x14ac:dyDescent="0.25">
      <c r="A154" s="24" t="s">
        <v>147</v>
      </c>
      <c r="B154" s="23" t="s">
        <v>148</v>
      </c>
      <c r="C154" s="11" t="s">
        <v>42</v>
      </c>
      <c r="D154" s="65">
        <v>48</v>
      </c>
      <c r="E154" s="67">
        <v>73.505520000000004</v>
      </c>
      <c r="F154" s="65">
        <f>PRODUCT($D$154,$E$154)</f>
        <v>3528.2649600000004</v>
      </c>
      <c r="DF154" s="8" t="s">
        <v>514</v>
      </c>
    </row>
    <row r="155" spans="1:110" hidden="1" x14ac:dyDescent="0.25">
      <c r="B155" s="55" t="s">
        <v>148</v>
      </c>
      <c r="D155" s="65"/>
      <c r="E155" s="67"/>
      <c r="F155" s="65"/>
      <c r="DF155" s="8" t="s">
        <v>514</v>
      </c>
    </row>
    <row r="156" spans="1:110" hidden="1" x14ac:dyDescent="0.25">
      <c r="B156" s="55" t="s">
        <v>148</v>
      </c>
      <c r="D156" s="65"/>
      <c r="E156" s="67"/>
      <c r="F156" s="65"/>
      <c r="DF156" s="8" t="s">
        <v>514</v>
      </c>
    </row>
    <row r="157" spans="1:110" x14ac:dyDescent="0.25">
      <c r="A157" s="24" t="s">
        <v>149</v>
      </c>
      <c r="B157" s="23" t="s">
        <v>150</v>
      </c>
      <c r="C157" s="11" t="s">
        <v>68</v>
      </c>
      <c r="D157" s="65">
        <v>7</v>
      </c>
      <c r="E157" s="67">
        <v>18.562000000000001</v>
      </c>
      <c r="F157" s="65">
        <f>PRODUCT($D$157,$E$157)</f>
        <v>129.934</v>
      </c>
      <c r="DF157" s="8" t="s">
        <v>514</v>
      </c>
    </row>
    <row r="158" spans="1:110" hidden="1" x14ac:dyDescent="0.25">
      <c r="B158" s="55" t="s">
        <v>150</v>
      </c>
      <c r="D158" s="65"/>
      <c r="E158" s="67"/>
      <c r="F158" s="65"/>
      <c r="DF158" s="8" t="s">
        <v>514</v>
      </c>
    </row>
    <row r="159" spans="1:110" hidden="1" x14ac:dyDescent="0.25">
      <c r="B159" s="55" t="s">
        <v>150</v>
      </c>
      <c r="D159" s="65"/>
      <c r="E159" s="67"/>
      <c r="F159" s="65"/>
      <c r="DF159" s="8" t="s">
        <v>514</v>
      </c>
    </row>
    <row r="160" spans="1:110" x14ac:dyDescent="0.25">
      <c r="A160" s="24" t="s">
        <v>151</v>
      </c>
      <c r="B160" s="23" t="s">
        <v>152</v>
      </c>
      <c r="C160" s="11" t="s">
        <v>68</v>
      </c>
      <c r="D160" s="65">
        <v>4.5</v>
      </c>
      <c r="E160" s="67">
        <v>22.2744</v>
      </c>
      <c r="F160" s="65">
        <f>PRODUCT($D$160,$E$160)</f>
        <v>100.23480000000001</v>
      </c>
      <c r="DF160" s="8" t="s">
        <v>514</v>
      </c>
    </row>
    <row r="161" spans="1:110" hidden="1" x14ac:dyDescent="0.25">
      <c r="B161" s="55" t="s">
        <v>152</v>
      </c>
      <c r="D161" s="65"/>
      <c r="E161" s="67"/>
      <c r="F161" s="65"/>
      <c r="DF161" s="8" t="s">
        <v>514</v>
      </c>
    </row>
    <row r="162" spans="1:110" hidden="1" x14ac:dyDescent="0.25">
      <c r="B162" s="55" t="s">
        <v>152</v>
      </c>
      <c r="D162" s="65"/>
      <c r="E162" s="67"/>
      <c r="F162" s="65"/>
      <c r="DF162" s="8" t="s">
        <v>514</v>
      </c>
    </row>
    <row r="163" spans="1:110" x14ac:dyDescent="0.25">
      <c r="A163" s="24" t="s">
        <v>153</v>
      </c>
      <c r="B163" s="23" t="s">
        <v>154</v>
      </c>
      <c r="C163" s="11" t="s">
        <v>71</v>
      </c>
      <c r="D163" s="65">
        <v>180</v>
      </c>
      <c r="E163" s="67">
        <v>5</v>
      </c>
      <c r="F163" s="65">
        <f>PRODUCT($D$163,$E$163)</f>
        <v>900</v>
      </c>
      <c r="DF163" s="8" t="s">
        <v>514</v>
      </c>
    </row>
    <row r="164" spans="1:110" hidden="1" x14ac:dyDescent="0.25">
      <c r="B164" s="55" t="s">
        <v>154</v>
      </c>
      <c r="D164" s="65"/>
      <c r="E164" s="67"/>
      <c r="F164" s="65"/>
      <c r="DF164" s="8" t="s">
        <v>514</v>
      </c>
    </row>
    <row r="165" spans="1:110" hidden="1" x14ac:dyDescent="0.25">
      <c r="B165" s="55" t="s">
        <v>154</v>
      </c>
      <c r="D165" s="65"/>
      <c r="E165" s="67"/>
      <c r="F165" s="65"/>
      <c r="DF165" s="8" t="s">
        <v>514</v>
      </c>
    </row>
    <row r="166" spans="1:110" x14ac:dyDescent="0.25">
      <c r="A166" s="24" t="s">
        <v>155</v>
      </c>
      <c r="B166" s="23" t="s">
        <v>156</v>
      </c>
      <c r="C166" s="11" t="s">
        <v>71</v>
      </c>
      <c r="D166" s="65">
        <v>60</v>
      </c>
      <c r="E166" s="67">
        <v>6</v>
      </c>
      <c r="F166" s="65">
        <f>PRODUCT($D$166,$E$166)</f>
        <v>360</v>
      </c>
      <c r="DF166" s="8" t="s">
        <v>514</v>
      </c>
    </row>
    <row r="167" spans="1:110" hidden="1" x14ac:dyDescent="0.25">
      <c r="B167" s="55" t="s">
        <v>156</v>
      </c>
      <c r="D167" s="65"/>
      <c r="E167" s="67"/>
      <c r="F167" s="65"/>
      <c r="DF167" s="8" t="s">
        <v>514</v>
      </c>
    </row>
    <row r="168" spans="1:110" hidden="1" x14ac:dyDescent="0.25">
      <c r="B168" s="55" t="s">
        <v>156</v>
      </c>
      <c r="D168" s="65"/>
      <c r="E168" s="67"/>
      <c r="F168" s="65"/>
      <c r="DF168" s="8" t="s">
        <v>514</v>
      </c>
    </row>
    <row r="169" spans="1:110" x14ac:dyDescent="0.25">
      <c r="A169" s="24" t="s">
        <v>157</v>
      </c>
      <c r="B169" s="23" t="s">
        <v>158</v>
      </c>
      <c r="C169" s="11" t="s">
        <v>71</v>
      </c>
      <c r="D169" s="65">
        <v>180</v>
      </c>
      <c r="E169" s="67">
        <v>4</v>
      </c>
      <c r="F169" s="65">
        <f>PRODUCT($D$169,$E$169)</f>
        <v>720</v>
      </c>
      <c r="DF169" s="8" t="s">
        <v>514</v>
      </c>
    </row>
    <row r="170" spans="1:110" hidden="1" x14ac:dyDescent="0.25">
      <c r="B170" s="55" t="s">
        <v>158</v>
      </c>
      <c r="D170" s="65"/>
      <c r="E170" s="67"/>
      <c r="F170" s="65"/>
      <c r="DF170" s="8" t="s">
        <v>514</v>
      </c>
    </row>
    <row r="171" spans="1:110" hidden="1" x14ac:dyDescent="0.25">
      <c r="B171" s="55" t="s">
        <v>158</v>
      </c>
      <c r="D171" s="65"/>
      <c r="E171" s="67"/>
      <c r="F171" s="65"/>
      <c r="DF171" s="8" t="s">
        <v>514</v>
      </c>
    </row>
    <row r="172" spans="1:110" x14ac:dyDescent="0.25">
      <c r="A172" s="24" t="s">
        <v>159</v>
      </c>
      <c r="B172" s="23" t="s">
        <v>160</v>
      </c>
      <c r="C172" s="11" t="s">
        <v>71</v>
      </c>
      <c r="D172" s="65">
        <v>200</v>
      </c>
      <c r="E172" s="67">
        <v>2</v>
      </c>
      <c r="F172" s="65">
        <f>PRODUCT($D$172,$E$172)</f>
        <v>400</v>
      </c>
      <c r="DF172" s="8" t="s">
        <v>514</v>
      </c>
    </row>
    <row r="173" spans="1:110" hidden="1" x14ac:dyDescent="0.25">
      <c r="B173" s="55" t="s">
        <v>160</v>
      </c>
      <c r="D173" s="65"/>
      <c r="E173" s="67"/>
      <c r="F173" s="65"/>
      <c r="DF173" s="8" t="s">
        <v>514</v>
      </c>
    </row>
    <row r="174" spans="1:110" hidden="1" x14ac:dyDescent="0.25">
      <c r="B174" s="55" t="s">
        <v>160</v>
      </c>
      <c r="D174" s="65"/>
      <c r="E174" s="67"/>
      <c r="F174" s="65"/>
      <c r="DF174" s="8" t="s">
        <v>514</v>
      </c>
    </row>
    <row r="175" spans="1:110" x14ac:dyDescent="0.25">
      <c r="A175" s="24" t="s">
        <v>161</v>
      </c>
      <c r="B175" s="23" t="s">
        <v>162</v>
      </c>
      <c r="C175" s="11" t="s">
        <v>68</v>
      </c>
      <c r="D175" s="65"/>
      <c r="E175" s="67"/>
      <c r="F175" s="65"/>
      <c r="DF175" s="8" t="s">
        <v>514</v>
      </c>
    </row>
    <row r="176" spans="1:110" hidden="1" x14ac:dyDescent="0.25">
      <c r="B176" s="55" t="s">
        <v>162</v>
      </c>
      <c r="D176" s="65"/>
      <c r="E176" s="67"/>
      <c r="F176" s="65"/>
      <c r="DF176" s="8" t="s">
        <v>514</v>
      </c>
    </row>
    <row r="177" spans="1:110" hidden="1" x14ac:dyDescent="0.25">
      <c r="B177" s="55" t="s">
        <v>162</v>
      </c>
      <c r="D177" s="65"/>
      <c r="E177" s="67"/>
      <c r="F177" s="65"/>
      <c r="DF177" s="8" t="s">
        <v>514</v>
      </c>
    </row>
    <row r="178" spans="1:110" x14ac:dyDescent="0.25">
      <c r="A178" s="24" t="s">
        <v>163</v>
      </c>
      <c r="B178" s="23" t="s">
        <v>164</v>
      </c>
      <c r="C178" s="11" t="s">
        <v>58</v>
      </c>
      <c r="D178" s="65">
        <v>220</v>
      </c>
      <c r="E178" s="67">
        <v>109.67243999999998</v>
      </c>
      <c r="F178" s="65">
        <f>PRODUCT($D$178,$E$178)</f>
        <v>24127.936799999996</v>
      </c>
      <c r="DF178" s="8" t="s">
        <v>514</v>
      </c>
    </row>
    <row r="179" spans="1:110" hidden="1" x14ac:dyDescent="0.25">
      <c r="B179" s="55" t="s">
        <v>164</v>
      </c>
      <c r="D179" s="65"/>
      <c r="E179" s="67"/>
      <c r="F179" s="65"/>
      <c r="DF179" s="8" t="s">
        <v>514</v>
      </c>
    </row>
    <row r="180" spans="1:110" hidden="1" x14ac:dyDescent="0.25">
      <c r="B180" s="55" t="s">
        <v>164</v>
      </c>
      <c r="D180" s="65"/>
      <c r="E180" s="67"/>
      <c r="F180" s="65"/>
      <c r="DF180" s="8" t="s">
        <v>514</v>
      </c>
    </row>
    <row r="181" spans="1:110" x14ac:dyDescent="0.25">
      <c r="A181" s="24" t="s">
        <v>165</v>
      </c>
      <c r="B181" s="23" t="s">
        <v>166</v>
      </c>
      <c r="C181" s="11" t="s">
        <v>58</v>
      </c>
      <c r="D181" s="65">
        <v>185</v>
      </c>
      <c r="E181" s="67">
        <v>174.95280000000002</v>
      </c>
      <c r="F181" s="65">
        <f>PRODUCT($D$181,$E$181)</f>
        <v>32366.268000000004</v>
      </c>
      <c r="DF181" s="8" t="s">
        <v>514</v>
      </c>
    </row>
    <row r="182" spans="1:110" hidden="1" x14ac:dyDescent="0.25">
      <c r="B182" s="55" t="s">
        <v>166</v>
      </c>
      <c r="D182" s="65"/>
      <c r="E182" s="67"/>
      <c r="F182" s="65"/>
      <c r="DF182" s="8" t="s">
        <v>514</v>
      </c>
    </row>
    <row r="183" spans="1:110" hidden="1" x14ac:dyDescent="0.25">
      <c r="B183" s="55" t="s">
        <v>166</v>
      </c>
      <c r="D183" s="65"/>
      <c r="E183" s="67"/>
      <c r="F183" s="65"/>
      <c r="DF183" s="8" t="s">
        <v>514</v>
      </c>
    </row>
    <row r="184" spans="1:110" x14ac:dyDescent="0.25">
      <c r="A184" s="24" t="s">
        <v>167</v>
      </c>
      <c r="B184" s="23" t="s">
        <v>168</v>
      </c>
      <c r="C184" s="11" t="s">
        <v>68</v>
      </c>
      <c r="D184" s="65">
        <v>185</v>
      </c>
      <c r="E184" s="67">
        <v>24.007000000000001</v>
      </c>
      <c r="F184" s="65">
        <f>PRODUCT($D$184,$E$184)</f>
        <v>4441.2950000000001</v>
      </c>
      <c r="DF184" s="8" t="s">
        <v>514</v>
      </c>
    </row>
    <row r="185" spans="1:110" hidden="1" x14ac:dyDescent="0.25">
      <c r="B185" s="55" t="s">
        <v>168</v>
      </c>
      <c r="D185" s="65"/>
      <c r="E185" s="67"/>
      <c r="F185" s="65"/>
      <c r="DF185" s="8" t="s">
        <v>514</v>
      </c>
    </row>
    <row r="186" spans="1:110" hidden="1" x14ac:dyDescent="0.25">
      <c r="B186" s="55" t="s">
        <v>168</v>
      </c>
      <c r="D186" s="65"/>
      <c r="E186" s="67"/>
      <c r="F186" s="65"/>
      <c r="DF186" s="8" t="s">
        <v>514</v>
      </c>
    </row>
    <row r="187" spans="1:110" x14ac:dyDescent="0.25">
      <c r="A187" s="24" t="s">
        <v>169</v>
      </c>
      <c r="B187" s="23" t="s">
        <v>170</v>
      </c>
      <c r="C187" s="11" t="s">
        <v>68</v>
      </c>
      <c r="D187" s="65">
        <v>4.7</v>
      </c>
      <c r="E187" s="67">
        <v>13.343</v>
      </c>
      <c r="F187" s="65">
        <f>PRODUCT($D$187,$E$187)</f>
        <v>62.7121</v>
      </c>
      <c r="DF187" s="8" t="s">
        <v>514</v>
      </c>
    </row>
    <row r="188" spans="1:110" hidden="1" x14ac:dyDescent="0.25">
      <c r="B188" s="55" t="s">
        <v>170</v>
      </c>
      <c r="D188" s="65"/>
      <c r="E188" s="67"/>
      <c r="F188" s="65"/>
      <c r="DF188" s="8" t="s">
        <v>514</v>
      </c>
    </row>
    <row r="189" spans="1:110" hidden="1" x14ac:dyDescent="0.25">
      <c r="B189" s="55" t="s">
        <v>170</v>
      </c>
      <c r="D189" s="65"/>
      <c r="E189" s="67"/>
      <c r="F189" s="65"/>
      <c r="DF189" s="8" t="s">
        <v>514</v>
      </c>
    </row>
    <row r="190" spans="1:110" x14ac:dyDescent="0.25">
      <c r="A190" s="24" t="s">
        <v>171</v>
      </c>
      <c r="B190" s="23" t="s">
        <v>172</v>
      </c>
      <c r="C190" s="11" t="s">
        <v>71</v>
      </c>
      <c r="D190" s="65">
        <v>38</v>
      </c>
      <c r="E190" s="67">
        <v>2</v>
      </c>
      <c r="F190" s="65">
        <f>PRODUCT($D$190,$E$190)</f>
        <v>76</v>
      </c>
      <c r="DF190" s="8" t="s">
        <v>514</v>
      </c>
    </row>
    <row r="191" spans="1:110" hidden="1" x14ac:dyDescent="0.25">
      <c r="B191" s="55" t="s">
        <v>172</v>
      </c>
      <c r="D191" s="65"/>
      <c r="E191" s="67"/>
      <c r="F191" s="65"/>
      <c r="DF191" s="8" t="s">
        <v>514</v>
      </c>
    </row>
    <row r="192" spans="1:110" hidden="1" x14ac:dyDescent="0.25">
      <c r="B192" s="55" t="s">
        <v>172</v>
      </c>
      <c r="D192" s="65"/>
      <c r="E192" s="67"/>
      <c r="F192" s="65"/>
      <c r="DF192" s="8" t="s">
        <v>514</v>
      </c>
    </row>
    <row r="193" spans="1:110" x14ac:dyDescent="0.25">
      <c r="A193" s="24" t="s">
        <v>173</v>
      </c>
      <c r="B193" s="23" t="s">
        <v>174</v>
      </c>
      <c r="C193" s="11" t="s">
        <v>71</v>
      </c>
      <c r="D193" s="65">
        <v>27</v>
      </c>
      <c r="E193" s="67">
        <v>3</v>
      </c>
      <c r="F193" s="65">
        <f>PRODUCT($D$193,$E$193)</f>
        <v>81</v>
      </c>
      <c r="DF193" s="8" t="s">
        <v>514</v>
      </c>
    </row>
    <row r="194" spans="1:110" hidden="1" x14ac:dyDescent="0.25">
      <c r="B194" s="55" t="s">
        <v>174</v>
      </c>
      <c r="D194" s="65"/>
      <c r="E194" s="67"/>
      <c r="F194" s="65"/>
      <c r="DF194" s="8" t="s">
        <v>514</v>
      </c>
    </row>
    <row r="195" spans="1:110" hidden="1" x14ac:dyDescent="0.25">
      <c r="B195" s="55" t="s">
        <v>174</v>
      </c>
      <c r="D195" s="65"/>
      <c r="E195" s="67"/>
      <c r="F195" s="65"/>
      <c r="DF195" s="8" t="s">
        <v>514</v>
      </c>
    </row>
    <row r="196" spans="1:110" x14ac:dyDescent="0.25">
      <c r="A196" s="24" t="s">
        <v>175</v>
      </c>
      <c r="B196" s="23" t="s">
        <v>176</v>
      </c>
      <c r="C196" s="11" t="s">
        <v>71</v>
      </c>
      <c r="D196" s="65">
        <v>23</v>
      </c>
      <c r="E196" s="67">
        <v>4</v>
      </c>
      <c r="F196" s="65">
        <f>PRODUCT($D$196,$E$196)</f>
        <v>92</v>
      </c>
      <c r="DF196" s="8" t="s">
        <v>514</v>
      </c>
    </row>
    <row r="197" spans="1:110" hidden="1" x14ac:dyDescent="0.25">
      <c r="B197" s="55" t="s">
        <v>176</v>
      </c>
      <c r="D197" s="65"/>
      <c r="E197" s="67"/>
      <c r="F197" s="65"/>
      <c r="DF197" s="8" t="s">
        <v>514</v>
      </c>
    </row>
    <row r="198" spans="1:110" hidden="1" x14ac:dyDescent="0.25">
      <c r="B198" s="55" t="s">
        <v>176</v>
      </c>
      <c r="D198" s="65"/>
      <c r="E198" s="67"/>
      <c r="F198" s="65"/>
      <c r="DF198" s="8" t="s">
        <v>514</v>
      </c>
    </row>
    <row r="199" spans="1:110" x14ac:dyDescent="0.25">
      <c r="A199" s="24" t="s">
        <v>177</v>
      </c>
      <c r="B199" s="23" t="s">
        <v>178</v>
      </c>
      <c r="C199" s="11" t="s">
        <v>71</v>
      </c>
      <c r="D199" s="65">
        <v>480</v>
      </c>
      <c r="E199" s="67">
        <v>2</v>
      </c>
      <c r="F199" s="65">
        <f>PRODUCT($D$199,$E$199)</f>
        <v>960</v>
      </c>
      <c r="DF199" s="8" t="s">
        <v>514</v>
      </c>
    </row>
    <row r="200" spans="1:110" hidden="1" x14ac:dyDescent="0.25">
      <c r="B200" s="55" t="s">
        <v>178</v>
      </c>
      <c r="D200" s="65"/>
      <c r="E200" s="67"/>
      <c r="F200" s="65"/>
      <c r="DF200" s="8" t="s">
        <v>514</v>
      </c>
    </row>
    <row r="201" spans="1:110" hidden="1" x14ac:dyDescent="0.25">
      <c r="B201" s="55" t="s">
        <v>178</v>
      </c>
      <c r="D201" s="65"/>
      <c r="E201" s="67"/>
      <c r="F201" s="65"/>
      <c r="DF201" s="8" t="s">
        <v>514</v>
      </c>
    </row>
    <row r="202" spans="1:110" x14ac:dyDescent="0.25">
      <c r="A202" s="24" t="s">
        <v>179</v>
      </c>
      <c r="B202" s="23" t="s">
        <v>180</v>
      </c>
      <c r="C202" s="11" t="s">
        <v>71</v>
      </c>
      <c r="D202" s="65">
        <v>18</v>
      </c>
      <c r="E202" s="67">
        <v>2</v>
      </c>
      <c r="F202" s="65">
        <f>PRODUCT($D$202,$E$202)</f>
        <v>36</v>
      </c>
      <c r="DF202" s="8" t="s">
        <v>514</v>
      </c>
    </row>
    <row r="203" spans="1:110" hidden="1" x14ac:dyDescent="0.25">
      <c r="B203" s="55" t="s">
        <v>180</v>
      </c>
      <c r="D203" s="65"/>
      <c r="E203" s="67"/>
      <c r="F203" s="65"/>
      <c r="DF203" s="8" t="s">
        <v>514</v>
      </c>
    </row>
    <row r="204" spans="1:110" hidden="1" x14ac:dyDescent="0.25">
      <c r="B204" s="55" t="s">
        <v>180</v>
      </c>
      <c r="D204" s="65"/>
      <c r="E204" s="67"/>
      <c r="F204" s="65"/>
      <c r="DF204" s="8" t="s">
        <v>514</v>
      </c>
    </row>
    <row r="205" spans="1:110" x14ac:dyDescent="0.25">
      <c r="A205" s="24" t="s">
        <v>181</v>
      </c>
      <c r="B205" s="23" t="s">
        <v>182</v>
      </c>
      <c r="C205" s="11" t="s">
        <v>71</v>
      </c>
      <c r="D205" s="65">
        <v>25</v>
      </c>
      <c r="E205" s="67">
        <v>1</v>
      </c>
      <c r="F205" s="65">
        <f>PRODUCT($D$205,$E$205)</f>
        <v>25</v>
      </c>
      <c r="DF205" s="8" t="s">
        <v>514</v>
      </c>
    </row>
    <row r="206" spans="1:110" hidden="1" x14ac:dyDescent="0.25">
      <c r="B206" s="55" t="s">
        <v>182</v>
      </c>
      <c r="D206" s="65"/>
      <c r="E206" s="67"/>
      <c r="F206" s="65"/>
      <c r="DF206" s="8" t="s">
        <v>514</v>
      </c>
    </row>
    <row r="207" spans="1:110" hidden="1" x14ac:dyDescent="0.25">
      <c r="B207" s="55" t="s">
        <v>182</v>
      </c>
      <c r="D207" s="65"/>
      <c r="E207" s="67"/>
      <c r="F207" s="65"/>
      <c r="DF207" s="8" t="s">
        <v>514</v>
      </c>
    </row>
    <row r="208" spans="1:110" x14ac:dyDescent="0.25">
      <c r="A208" s="24" t="s">
        <v>183</v>
      </c>
      <c r="B208" s="23" t="s">
        <v>184</v>
      </c>
      <c r="C208" s="11" t="s">
        <v>68</v>
      </c>
      <c r="D208" s="65">
        <v>6</v>
      </c>
      <c r="E208" s="67">
        <v>3.6350000000000002</v>
      </c>
      <c r="F208" s="65">
        <f>PRODUCT($D$208,$E$208)</f>
        <v>21.810000000000002</v>
      </c>
      <c r="DF208" s="8" t="s">
        <v>514</v>
      </c>
    </row>
    <row r="209" spans="1:110" hidden="1" x14ac:dyDescent="0.25">
      <c r="B209" s="55" t="s">
        <v>184</v>
      </c>
      <c r="D209" s="65"/>
      <c r="E209" s="67"/>
      <c r="F209" s="65"/>
      <c r="DF209" s="8" t="s">
        <v>514</v>
      </c>
    </row>
    <row r="210" spans="1:110" hidden="1" x14ac:dyDescent="0.25">
      <c r="B210" s="55" t="s">
        <v>184</v>
      </c>
      <c r="D210" s="65"/>
      <c r="E210" s="67"/>
      <c r="F210" s="65"/>
      <c r="DF210" s="8" t="s">
        <v>514</v>
      </c>
    </row>
    <row r="211" spans="1:110" x14ac:dyDescent="0.25">
      <c r="A211" s="24" t="s">
        <v>185</v>
      </c>
      <c r="B211" s="23" t="s">
        <v>186</v>
      </c>
      <c r="C211" s="11" t="s">
        <v>58</v>
      </c>
      <c r="D211" s="65">
        <v>90</v>
      </c>
      <c r="E211" s="67">
        <v>3.5604</v>
      </c>
      <c r="F211" s="65">
        <f>PRODUCT($D$211,$E$211)</f>
        <v>320.43599999999998</v>
      </c>
      <c r="DF211" s="8" t="s">
        <v>514</v>
      </c>
    </row>
    <row r="212" spans="1:110" hidden="1" x14ac:dyDescent="0.25">
      <c r="B212" s="55" t="s">
        <v>186</v>
      </c>
      <c r="D212" s="65"/>
      <c r="E212" s="67"/>
      <c r="F212" s="65"/>
      <c r="DF212" s="8" t="s">
        <v>514</v>
      </c>
    </row>
    <row r="213" spans="1:110" hidden="1" x14ac:dyDescent="0.25">
      <c r="B213" s="55" t="s">
        <v>186</v>
      </c>
      <c r="D213" s="65"/>
      <c r="E213" s="67"/>
      <c r="F213" s="65"/>
      <c r="DF213" s="8" t="s">
        <v>514</v>
      </c>
    </row>
    <row r="214" spans="1:110" x14ac:dyDescent="0.25">
      <c r="A214" s="24" t="s">
        <v>187</v>
      </c>
      <c r="B214" s="23" t="s">
        <v>188</v>
      </c>
      <c r="C214" s="11" t="s">
        <v>58</v>
      </c>
      <c r="D214" s="65">
        <v>110</v>
      </c>
      <c r="E214" s="67">
        <v>1.4911000000000001</v>
      </c>
      <c r="F214" s="65">
        <f>PRODUCT($D$214,$E$214)</f>
        <v>164.02100000000002</v>
      </c>
      <c r="DF214" s="8" t="s">
        <v>514</v>
      </c>
    </row>
    <row r="215" spans="1:110" hidden="1" x14ac:dyDescent="0.25">
      <c r="B215" s="55" t="s">
        <v>188</v>
      </c>
      <c r="D215" s="65"/>
      <c r="E215" s="67"/>
      <c r="F215" s="65"/>
      <c r="DF215" s="8" t="s">
        <v>514</v>
      </c>
    </row>
    <row r="216" spans="1:110" hidden="1" x14ac:dyDescent="0.25">
      <c r="B216" s="55" t="s">
        <v>188</v>
      </c>
      <c r="D216" s="65"/>
      <c r="E216" s="67"/>
      <c r="F216" s="65"/>
      <c r="DF216" s="8" t="s">
        <v>514</v>
      </c>
    </row>
    <row r="217" spans="1:110" x14ac:dyDescent="0.25">
      <c r="A217" s="24" t="s">
        <v>189</v>
      </c>
      <c r="B217" s="23" t="s">
        <v>190</v>
      </c>
      <c r="C217" s="11" t="s">
        <v>58</v>
      </c>
      <c r="D217" s="65">
        <v>140</v>
      </c>
      <c r="E217" s="67">
        <v>10.38</v>
      </c>
      <c r="F217" s="65">
        <f>PRODUCT($D$217,$E$217)</f>
        <v>1453.2</v>
      </c>
      <c r="DF217" s="8" t="s">
        <v>514</v>
      </c>
    </row>
    <row r="218" spans="1:110" hidden="1" x14ac:dyDescent="0.25">
      <c r="B218" s="55" t="s">
        <v>190</v>
      </c>
      <c r="D218" s="65"/>
      <c r="E218" s="67"/>
      <c r="F218" s="65"/>
      <c r="DF218" s="8" t="s">
        <v>514</v>
      </c>
    </row>
    <row r="219" spans="1:110" hidden="1" x14ac:dyDescent="0.25">
      <c r="B219" s="55" t="s">
        <v>190</v>
      </c>
      <c r="D219" s="65"/>
      <c r="E219" s="67"/>
      <c r="F219" s="65"/>
      <c r="DF219" s="8" t="s">
        <v>514</v>
      </c>
    </row>
    <row r="220" spans="1:110" x14ac:dyDescent="0.25">
      <c r="A220" s="24" t="s">
        <v>191</v>
      </c>
      <c r="B220" s="23" t="s">
        <v>192</v>
      </c>
      <c r="C220" s="11" t="s">
        <v>71</v>
      </c>
      <c r="D220" s="65">
        <v>178</v>
      </c>
      <c r="E220" s="67">
        <v>3</v>
      </c>
      <c r="F220" s="65">
        <f>PRODUCT($D$220,$E$220)</f>
        <v>534</v>
      </c>
      <c r="DF220" s="8" t="s">
        <v>514</v>
      </c>
    </row>
    <row r="221" spans="1:110" hidden="1" x14ac:dyDescent="0.25">
      <c r="B221" s="55" t="s">
        <v>192</v>
      </c>
      <c r="D221" s="65"/>
      <c r="E221" s="67"/>
      <c r="F221" s="65"/>
      <c r="DF221" s="8" t="s">
        <v>514</v>
      </c>
    </row>
    <row r="222" spans="1:110" hidden="1" x14ac:dyDescent="0.25">
      <c r="B222" s="55" t="s">
        <v>192</v>
      </c>
      <c r="D222" s="65"/>
      <c r="E222" s="67"/>
      <c r="F222" s="65"/>
      <c r="DF222" s="8" t="s">
        <v>514</v>
      </c>
    </row>
    <row r="223" spans="1:110" x14ac:dyDescent="0.25">
      <c r="A223" s="24" t="s">
        <v>193</v>
      </c>
      <c r="B223" s="23" t="s">
        <v>194</v>
      </c>
      <c r="C223" s="11" t="s">
        <v>71</v>
      </c>
      <c r="D223" s="65">
        <v>93</v>
      </c>
      <c r="E223" s="67">
        <v>7</v>
      </c>
      <c r="F223" s="65">
        <f>PRODUCT($D$223,$E$223)</f>
        <v>651</v>
      </c>
      <c r="DF223" s="8" t="s">
        <v>514</v>
      </c>
    </row>
    <row r="224" spans="1:110" hidden="1" x14ac:dyDescent="0.25">
      <c r="B224" s="55" t="s">
        <v>194</v>
      </c>
      <c r="D224" s="65"/>
      <c r="E224" s="67"/>
      <c r="F224" s="65"/>
      <c r="DF224" s="8" t="s">
        <v>514</v>
      </c>
    </row>
    <row r="225" spans="1:110" hidden="1" x14ac:dyDescent="0.25">
      <c r="B225" s="55" t="s">
        <v>194</v>
      </c>
      <c r="D225" s="65"/>
      <c r="E225" s="67"/>
      <c r="F225" s="65"/>
      <c r="DF225" s="8" t="s">
        <v>514</v>
      </c>
    </row>
    <row r="226" spans="1:110" x14ac:dyDescent="0.25">
      <c r="A226" s="24" t="s">
        <v>195</v>
      </c>
      <c r="B226" s="23" t="s">
        <v>196</v>
      </c>
      <c r="C226" s="11" t="s">
        <v>71</v>
      </c>
      <c r="D226" s="65">
        <v>132</v>
      </c>
      <c r="E226" s="67">
        <v>8</v>
      </c>
      <c r="F226" s="65">
        <f>PRODUCT($D$226,$E$226)</f>
        <v>1056</v>
      </c>
      <c r="DF226" s="8" t="s">
        <v>514</v>
      </c>
    </row>
    <row r="227" spans="1:110" hidden="1" x14ac:dyDescent="0.25">
      <c r="B227" s="55" t="s">
        <v>196</v>
      </c>
      <c r="D227" s="65"/>
      <c r="E227" s="67"/>
      <c r="F227" s="65"/>
      <c r="DF227" s="8" t="s">
        <v>514</v>
      </c>
    </row>
    <row r="228" spans="1:110" hidden="1" x14ac:dyDescent="0.25">
      <c r="B228" s="55" t="s">
        <v>196</v>
      </c>
      <c r="D228" s="65"/>
      <c r="E228" s="67"/>
      <c r="F228" s="65"/>
      <c r="DF228" s="8" t="s">
        <v>514</v>
      </c>
    </row>
    <row r="229" spans="1:110" x14ac:dyDescent="0.25">
      <c r="A229" s="24" t="s">
        <v>197</v>
      </c>
      <c r="B229" s="23" t="s">
        <v>198</v>
      </c>
      <c r="C229" s="11" t="s">
        <v>71</v>
      </c>
      <c r="D229" s="65">
        <v>145</v>
      </c>
      <c r="E229" s="67">
        <v>2</v>
      </c>
      <c r="F229" s="65">
        <f>PRODUCT($D$229,$E$229)</f>
        <v>290</v>
      </c>
      <c r="DF229" s="8" t="s">
        <v>514</v>
      </c>
    </row>
    <row r="230" spans="1:110" hidden="1" x14ac:dyDescent="0.25">
      <c r="B230" s="55" t="s">
        <v>198</v>
      </c>
      <c r="D230" s="65"/>
      <c r="E230" s="67"/>
      <c r="F230" s="65"/>
      <c r="DF230" s="8" t="s">
        <v>514</v>
      </c>
    </row>
    <row r="231" spans="1:110" hidden="1" x14ac:dyDescent="0.25">
      <c r="B231" s="55" t="s">
        <v>198</v>
      </c>
      <c r="D231" s="65"/>
      <c r="E231" s="67"/>
      <c r="F231" s="65"/>
      <c r="DF231" s="8" t="s">
        <v>514</v>
      </c>
    </row>
    <row r="232" spans="1:110" x14ac:dyDescent="0.25">
      <c r="A232" s="24" t="s">
        <v>199</v>
      </c>
      <c r="B232" s="23" t="s">
        <v>200</v>
      </c>
      <c r="C232" s="11" t="s">
        <v>71</v>
      </c>
      <c r="D232" s="65">
        <v>680</v>
      </c>
      <c r="E232" s="67">
        <v>1</v>
      </c>
      <c r="F232" s="65">
        <f>PRODUCT($D$232,$E$232)</f>
        <v>680</v>
      </c>
      <c r="DF232" s="8" t="s">
        <v>514</v>
      </c>
    </row>
    <row r="233" spans="1:110" hidden="1" x14ac:dyDescent="0.25">
      <c r="B233" s="55" t="s">
        <v>200</v>
      </c>
      <c r="D233" s="65"/>
      <c r="E233" s="67"/>
      <c r="F233" s="65"/>
      <c r="DF233" s="8" t="s">
        <v>514</v>
      </c>
    </row>
    <row r="234" spans="1:110" hidden="1" x14ac:dyDescent="0.25">
      <c r="B234" s="55" t="s">
        <v>200</v>
      </c>
      <c r="D234" s="65"/>
      <c r="E234" s="67"/>
      <c r="F234" s="65"/>
      <c r="DF234" s="8" t="s">
        <v>514</v>
      </c>
    </row>
    <row r="235" spans="1:110" x14ac:dyDescent="0.25">
      <c r="A235" s="24" t="s">
        <v>201</v>
      </c>
      <c r="B235" s="23" t="s">
        <v>202</v>
      </c>
      <c r="C235" s="11" t="s">
        <v>58</v>
      </c>
      <c r="D235" s="65">
        <v>18</v>
      </c>
      <c r="E235" s="67">
        <v>3</v>
      </c>
      <c r="F235" s="65">
        <f>PRODUCT($D$235,$E$235)</f>
        <v>54</v>
      </c>
      <c r="DF235" s="8" t="s">
        <v>514</v>
      </c>
    </row>
    <row r="236" spans="1:110" hidden="1" x14ac:dyDescent="0.25">
      <c r="B236" s="55" t="s">
        <v>202</v>
      </c>
      <c r="D236" s="65"/>
      <c r="E236" s="67"/>
      <c r="F236" s="65"/>
      <c r="DF236" s="8" t="s">
        <v>514</v>
      </c>
    </row>
    <row r="237" spans="1:110" hidden="1" x14ac:dyDescent="0.25">
      <c r="B237" s="55" t="s">
        <v>202</v>
      </c>
      <c r="D237" s="65"/>
      <c r="E237" s="67"/>
      <c r="F237" s="65"/>
      <c r="DF237" s="8" t="s">
        <v>514</v>
      </c>
    </row>
    <row r="238" spans="1:110" x14ac:dyDescent="0.25">
      <c r="A238" s="24" t="s">
        <v>203</v>
      </c>
      <c r="B238" s="23" t="s">
        <v>204</v>
      </c>
      <c r="C238" s="11" t="s">
        <v>71</v>
      </c>
      <c r="D238" s="65">
        <v>212</v>
      </c>
      <c r="E238" s="67">
        <v>1</v>
      </c>
      <c r="F238" s="65">
        <f>PRODUCT($D$238,$E$238)</f>
        <v>212</v>
      </c>
      <c r="DF238" s="8" t="s">
        <v>514</v>
      </c>
    </row>
    <row r="239" spans="1:110" hidden="1" x14ac:dyDescent="0.25">
      <c r="B239" s="55" t="s">
        <v>204</v>
      </c>
      <c r="D239" s="65"/>
      <c r="E239" s="67"/>
      <c r="F239" s="65"/>
      <c r="DF239" s="8" t="s">
        <v>514</v>
      </c>
    </row>
    <row r="240" spans="1:110" hidden="1" x14ac:dyDescent="0.25">
      <c r="B240" s="55" t="s">
        <v>204</v>
      </c>
      <c r="D240" s="65"/>
      <c r="E240" s="67"/>
      <c r="F240" s="65"/>
      <c r="DF240" s="8" t="s">
        <v>514</v>
      </c>
    </row>
    <row r="241" spans="1:110" x14ac:dyDescent="0.25">
      <c r="A241" s="24" t="s">
        <v>205</v>
      </c>
      <c r="B241" s="23" t="s">
        <v>206</v>
      </c>
      <c r="C241" s="11" t="s">
        <v>71</v>
      </c>
      <c r="D241" s="65">
        <v>190</v>
      </c>
      <c r="E241" s="67">
        <v>1</v>
      </c>
      <c r="F241" s="65">
        <f>PRODUCT($D$241,$E$241)</f>
        <v>190</v>
      </c>
      <c r="DF241" s="8" t="s">
        <v>514</v>
      </c>
    </row>
    <row r="242" spans="1:110" hidden="1" x14ac:dyDescent="0.25">
      <c r="B242" s="55" t="s">
        <v>206</v>
      </c>
      <c r="D242" s="65"/>
      <c r="E242" s="67"/>
      <c r="F242" s="65"/>
      <c r="DF242" s="8" t="s">
        <v>514</v>
      </c>
    </row>
    <row r="243" spans="1:110" hidden="1" x14ac:dyDescent="0.25">
      <c r="B243" s="55" t="s">
        <v>206</v>
      </c>
      <c r="D243" s="65"/>
      <c r="E243" s="67"/>
      <c r="F243" s="65"/>
      <c r="DF243" s="8" t="s">
        <v>514</v>
      </c>
    </row>
    <row r="244" spans="1:110" x14ac:dyDescent="0.25">
      <c r="A244" s="24" t="s">
        <v>207</v>
      </c>
      <c r="B244" s="23" t="s">
        <v>208</v>
      </c>
      <c r="C244" s="11" t="s">
        <v>71</v>
      </c>
      <c r="D244" s="65">
        <v>165</v>
      </c>
      <c r="E244" s="67">
        <v>1</v>
      </c>
      <c r="F244" s="65">
        <f>PRODUCT($D$244,$E$244)</f>
        <v>165</v>
      </c>
      <c r="DF244" s="8" t="s">
        <v>514</v>
      </c>
    </row>
    <row r="245" spans="1:110" hidden="1" x14ac:dyDescent="0.25">
      <c r="B245" s="55" t="s">
        <v>208</v>
      </c>
      <c r="D245" s="65"/>
      <c r="E245" s="67"/>
      <c r="F245" s="65"/>
      <c r="DF245" s="8" t="s">
        <v>514</v>
      </c>
    </row>
    <row r="246" spans="1:110" hidden="1" x14ac:dyDescent="0.25">
      <c r="B246" s="55" t="s">
        <v>208</v>
      </c>
      <c r="D246" s="65"/>
      <c r="E246" s="67"/>
      <c r="F246" s="65"/>
      <c r="DF246" s="8" t="s">
        <v>514</v>
      </c>
    </row>
    <row r="247" spans="1:110" x14ac:dyDescent="0.25">
      <c r="A247" s="24" t="s">
        <v>209</v>
      </c>
      <c r="B247" s="23" t="s">
        <v>210</v>
      </c>
      <c r="C247" s="11" t="s">
        <v>68</v>
      </c>
      <c r="D247" s="65">
        <v>6</v>
      </c>
      <c r="E247" s="67">
        <v>2.8769999999999998</v>
      </c>
      <c r="F247" s="65">
        <f>PRODUCT($D$247,$E$247)</f>
        <v>17.262</v>
      </c>
      <c r="DF247" s="8" t="s">
        <v>514</v>
      </c>
    </row>
    <row r="248" spans="1:110" hidden="1" x14ac:dyDescent="0.25">
      <c r="B248" s="55" t="s">
        <v>210</v>
      </c>
      <c r="D248" s="65"/>
      <c r="E248" s="67"/>
      <c r="F248" s="65"/>
      <c r="DF248" s="8" t="s">
        <v>514</v>
      </c>
    </row>
    <row r="249" spans="1:110" hidden="1" x14ac:dyDescent="0.25">
      <c r="B249" s="55" t="s">
        <v>210</v>
      </c>
      <c r="D249" s="65"/>
      <c r="E249" s="67"/>
      <c r="F249" s="65"/>
      <c r="DF249" s="8" t="s">
        <v>514</v>
      </c>
    </row>
    <row r="250" spans="1:110" x14ac:dyDescent="0.25">
      <c r="A250" s="24" t="s">
        <v>211</v>
      </c>
      <c r="B250" s="23" t="s">
        <v>212</v>
      </c>
      <c r="C250" s="11" t="s">
        <v>68</v>
      </c>
      <c r="D250" s="65">
        <v>8</v>
      </c>
      <c r="E250" s="67">
        <v>2.8570000000000002</v>
      </c>
      <c r="F250" s="65">
        <f>PRODUCT($D$250,$E$250)</f>
        <v>22.856000000000002</v>
      </c>
      <c r="DF250" s="8" t="s">
        <v>514</v>
      </c>
    </row>
    <row r="251" spans="1:110" hidden="1" x14ac:dyDescent="0.25">
      <c r="B251" s="55" t="s">
        <v>212</v>
      </c>
      <c r="D251" s="65"/>
      <c r="E251" s="67"/>
      <c r="F251" s="65"/>
      <c r="DF251" s="8" t="s">
        <v>514</v>
      </c>
    </row>
    <row r="252" spans="1:110" hidden="1" x14ac:dyDescent="0.25">
      <c r="B252" s="55" t="s">
        <v>212</v>
      </c>
      <c r="D252" s="65"/>
      <c r="E252" s="67"/>
      <c r="F252" s="65"/>
      <c r="DF252" s="8" t="s">
        <v>514</v>
      </c>
    </row>
    <row r="253" spans="1:110" x14ac:dyDescent="0.25">
      <c r="A253" s="24" t="s">
        <v>213</v>
      </c>
      <c r="B253" s="23" t="s">
        <v>214</v>
      </c>
      <c r="C253" s="11" t="s">
        <v>68</v>
      </c>
      <c r="D253" s="65">
        <v>12</v>
      </c>
      <c r="E253" s="67">
        <v>2.645</v>
      </c>
      <c r="F253" s="65">
        <f>PRODUCT($D$253,$E$253)</f>
        <v>31.740000000000002</v>
      </c>
      <c r="DF253" s="8" t="s">
        <v>514</v>
      </c>
    </row>
    <row r="254" spans="1:110" hidden="1" x14ac:dyDescent="0.25">
      <c r="B254" s="55" t="s">
        <v>214</v>
      </c>
      <c r="D254" s="65"/>
      <c r="E254" s="67"/>
      <c r="F254" s="65"/>
      <c r="DF254" s="8" t="s">
        <v>514</v>
      </c>
    </row>
    <row r="255" spans="1:110" hidden="1" x14ac:dyDescent="0.25">
      <c r="B255" s="55" t="s">
        <v>214</v>
      </c>
      <c r="D255" s="65"/>
      <c r="E255" s="67"/>
      <c r="F255" s="65"/>
      <c r="DF255" s="8" t="s">
        <v>514</v>
      </c>
    </row>
    <row r="256" spans="1:110" x14ac:dyDescent="0.25">
      <c r="A256" s="24" t="s">
        <v>215</v>
      </c>
      <c r="B256" s="23" t="s">
        <v>216</v>
      </c>
      <c r="C256" s="11" t="s">
        <v>71</v>
      </c>
      <c r="D256" s="65">
        <v>4</v>
      </c>
      <c r="E256" s="67">
        <v>2</v>
      </c>
      <c r="F256" s="65">
        <f>PRODUCT($D$256,$E$256)</f>
        <v>8</v>
      </c>
      <c r="DF256" s="8" t="s">
        <v>514</v>
      </c>
    </row>
    <row r="257" spans="1:110" hidden="1" x14ac:dyDescent="0.25">
      <c r="B257" s="55" t="s">
        <v>216</v>
      </c>
      <c r="D257" s="65"/>
      <c r="E257" s="67"/>
      <c r="F257" s="65"/>
      <c r="DF257" s="8" t="s">
        <v>514</v>
      </c>
    </row>
    <row r="258" spans="1:110" hidden="1" x14ac:dyDescent="0.25">
      <c r="B258" s="55" t="s">
        <v>216</v>
      </c>
      <c r="D258" s="65"/>
      <c r="E258" s="67"/>
      <c r="F258" s="65"/>
      <c r="DF258" s="8" t="s">
        <v>514</v>
      </c>
    </row>
    <row r="259" spans="1:110" x14ac:dyDescent="0.25">
      <c r="A259" s="24" t="s">
        <v>217</v>
      </c>
      <c r="B259" s="23" t="s">
        <v>218</v>
      </c>
      <c r="C259" s="11" t="s">
        <v>71</v>
      </c>
      <c r="D259" s="65">
        <v>4.5</v>
      </c>
      <c r="E259" s="67">
        <v>1</v>
      </c>
      <c r="F259" s="65">
        <f>PRODUCT($D$259,$E$259)</f>
        <v>4.5</v>
      </c>
      <c r="DF259" s="8" t="s">
        <v>514</v>
      </c>
    </row>
    <row r="260" spans="1:110" hidden="1" x14ac:dyDescent="0.25">
      <c r="B260" s="55" t="s">
        <v>218</v>
      </c>
      <c r="D260" s="65"/>
      <c r="E260" s="67"/>
      <c r="F260" s="65"/>
      <c r="DF260" s="8" t="s">
        <v>514</v>
      </c>
    </row>
    <row r="261" spans="1:110" hidden="1" x14ac:dyDescent="0.25">
      <c r="B261" s="55" t="s">
        <v>218</v>
      </c>
      <c r="D261" s="65"/>
      <c r="E261" s="67"/>
      <c r="F261" s="65"/>
      <c r="DF261" s="8" t="s">
        <v>514</v>
      </c>
    </row>
    <row r="262" spans="1:110" x14ac:dyDescent="0.25">
      <c r="A262" s="24" t="s">
        <v>219</v>
      </c>
      <c r="B262" s="23" t="s">
        <v>220</v>
      </c>
      <c r="C262" s="11" t="s">
        <v>71</v>
      </c>
      <c r="D262" s="65">
        <v>5</v>
      </c>
      <c r="E262" s="67">
        <v>2</v>
      </c>
      <c r="F262" s="65">
        <f>PRODUCT($D$262,$E$262)</f>
        <v>10</v>
      </c>
      <c r="DF262" s="8" t="s">
        <v>514</v>
      </c>
    </row>
    <row r="263" spans="1:110" hidden="1" x14ac:dyDescent="0.25">
      <c r="B263" s="55" t="s">
        <v>220</v>
      </c>
      <c r="D263" s="65"/>
      <c r="E263" s="67"/>
      <c r="F263" s="65"/>
      <c r="DF263" s="8" t="s">
        <v>514</v>
      </c>
    </row>
    <row r="264" spans="1:110" hidden="1" x14ac:dyDescent="0.25">
      <c r="B264" s="55" t="s">
        <v>220</v>
      </c>
      <c r="D264" s="65"/>
      <c r="E264" s="67"/>
      <c r="F264" s="65"/>
      <c r="DF264" s="8" t="s">
        <v>514</v>
      </c>
    </row>
    <row r="265" spans="1:110" x14ac:dyDescent="0.25">
      <c r="A265" s="24" t="s">
        <v>221</v>
      </c>
      <c r="B265" s="23" t="s">
        <v>222</v>
      </c>
      <c r="C265" s="11" t="s">
        <v>42</v>
      </c>
      <c r="D265" s="65">
        <v>35</v>
      </c>
      <c r="E265" s="67">
        <v>174.358</v>
      </c>
      <c r="F265" s="65">
        <f>PRODUCT($D$265,$E$265)</f>
        <v>6102.53</v>
      </c>
      <c r="DF265" s="8" t="s">
        <v>514</v>
      </c>
    </row>
    <row r="266" spans="1:110" hidden="1" x14ac:dyDescent="0.25">
      <c r="B266" s="55" t="s">
        <v>222</v>
      </c>
      <c r="D266" s="65"/>
      <c r="E266" s="67"/>
      <c r="F266" s="65"/>
      <c r="DF266" s="8" t="s">
        <v>514</v>
      </c>
    </row>
    <row r="267" spans="1:110" hidden="1" x14ac:dyDescent="0.25">
      <c r="B267" s="55" t="s">
        <v>222</v>
      </c>
      <c r="D267" s="65"/>
      <c r="E267" s="67"/>
      <c r="F267" s="65"/>
      <c r="DF267" s="8" t="s">
        <v>514</v>
      </c>
    </row>
    <row r="268" spans="1:110" x14ac:dyDescent="0.25">
      <c r="A268" s="24" t="s">
        <v>223</v>
      </c>
      <c r="B268" s="23" t="s">
        <v>224</v>
      </c>
      <c r="C268" s="11" t="s">
        <v>68</v>
      </c>
      <c r="D268" s="65">
        <v>6</v>
      </c>
      <c r="E268" s="67">
        <v>247.67699999999999</v>
      </c>
      <c r="F268" s="65">
        <f>PRODUCT($D$268,$E$268)</f>
        <v>1486.0619999999999</v>
      </c>
      <c r="DF268" s="8" t="s">
        <v>514</v>
      </c>
    </row>
    <row r="269" spans="1:110" hidden="1" x14ac:dyDescent="0.25">
      <c r="B269" s="55" t="s">
        <v>224</v>
      </c>
      <c r="D269" s="65"/>
      <c r="E269" s="67"/>
      <c r="F269" s="65"/>
      <c r="DF269" s="8" t="s">
        <v>514</v>
      </c>
    </row>
    <row r="270" spans="1:110" hidden="1" x14ac:dyDescent="0.25">
      <c r="B270" s="55" t="s">
        <v>224</v>
      </c>
      <c r="D270" s="65"/>
      <c r="E270" s="67"/>
      <c r="F270" s="65"/>
      <c r="DF270" s="8" t="s">
        <v>514</v>
      </c>
    </row>
    <row r="271" spans="1:110" x14ac:dyDescent="0.25">
      <c r="A271" s="24" t="s">
        <v>225</v>
      </c>
      <c r="B271" s="23" t="s">
        <v>226</v>
      </c>
      <c r="C271" s="11" t="s">
        <v>58</v>
      </c>
      <c r="D271" s="65">
        <v>4</v>
      </c>
      <c r="E271" s="67">
        <v>80.704999999999998</v>
      </c>
      <c r="F271" s="65">
        <f>PRODUCT($D$271,$E$271)</f>
        <v>322.82</v>
      </c>
      <c r="DF271" s="8" t="s">
        <v>514</v>
      </c>
    </row>
    <row r="272" spans="1:110" hidden="1" x14ac:dyDescent="0.25">
      <c r="B272" s="55" t="s">
        <v>226</v>
      </c>
      <c r="D272" s="65"/>
      <c r="E272" s="67"/>
      <c r="F272" s="65"/>
      <c r="DF272" s="8" t="s">
        <v>514</v>
      </c>
    </row>
    <row r="273" spans="1:110" hidden="1" x14ac:dyDescent="0.25">
      <c r="B273" s="55" t="s">
        <v>226</v>
      </c>
      <c r="D273" s="65"/>
      <c r="E273" s="67"/>
      <c r="F273" s="65"/>
      <c r="DF273" s="8" t="s">
        <v>514</v>
      </c>
    </row>
    <row r="274" spans="1:110" x14ac:dyDescent="0.25">
      <c r="A274" s="24" t="s">
        <v>227</v>
      </c>
      <c r="B274" s="23" t="s">
        <v>228</v>
      </c>
      <c r="C274" s="11" t="s">
        <v>71</v>
      </c>
      <c r="D274" s="65"/>
      <c r="E274" s="67"/>
      <c r="F274" s="65"/>
      <c r="DF274" s="8" t="s">
        <v>514</v>
      </c>
    </row>
    <row r="275" spans="1:110" hidden="1" x14ac:dyDescent="0.25">
      <c r="B275" s="55" t="s">
        <v>228</v>
      </c>
      <c r="D275" s="65"/>
      <c r="E275" s="67"/>
      <c r="F275" s="65"/>
      <c r="DF275" s="8" t="s">
        <v>514</v>
      </c>
    </row>
    <row r="276" spans="1:110" hidden="1" x14ac:dyDescent="0.25">
      <c r="B276" s="55" t="s">
        <v>228</v>
      </c>
      <c r="D276" s="65"/>
      <c r="E276" s="67"/>
      <c r="F276" s="65"/>
      <c r="DF276" s="8" t="s">
        <v>514</v>
      </c>
    </row>
    <row r="277" spans="1:110" x14ac:dyDescent="0.25">
      <c r="A277" s="24" t="s">
        <v>229</v>
      </c>
      <c r="B277" s="23" t="s">
        <v>230</v>
      </c>
      <c r="C277" s="11" t="s">
        <v>71</v>
      </c>
      <c r="D277" s="65">
        <v>280</v>
      </c>
      <c r="E277" s="67">
        <v>1</v>
      </c>
      <c r="F277" s="65">
        <f>PRODUCT($D$277,$E$277)</f>
        <v>280</v>
      </c>
      <c r="DF277" s="8" t="s">
        <v>514</v>
      </c>
    </row>
    <row r="278" spans="1:110" hidden="1" x14ac:dyDescent="0.25">
      <c r="B278" s="55" t="s">
        <v>230</v>
      </c>
      <c r="D278" s="65"/>
      <c r="E278" s="67"/>
      <c r="F278" s="65"/>
      <c r="DF278" s="8" t="s">
        <v>514</v>
      </c>
    </row>
    <row r="279" spans="1:110" hidden="1" x14ac:dyDescent="0.25">
      <c r="B279" s="55" t="s">
        <v>230</v>
      </c>
      <c r="D279" s="65"/>
      <c r="E279" s="67"/>
      <c r="F279" s="65"/>
      <c r="DF279" s="8" t="s">
        <v>514</v>
      </c>
    </row>
    <row r="280" spans="1:110" x14ac:dyDescent="0.25">
      <c r="D280" s="65"/>
      <c r="E280" s="67"/>
      <c r="F280" s="65"/>
      <c r="DF280" s="8" t="s">
        <v>514</v>
      </c>
    </row>
    <row r="281" spans="1:110" x14ac:dyDescent="0.25">
      <c r="B281" s="64" t="s">
        <v>12</v>
      </c>
      <c r="D281" s="65"/>
      <c r="E281" s="67"/>
      <c r="F281" s="66">
        <f>SUM($F$4:$F$280)</f>
        <v>138707.36362800002</v>
      </c>
      <c r="DF281" s="8" t="s">
        <v>514</v>
      </c>
    </row>
    <row r="282" spans="1:110" x14ac:dyDescent="0.25">
      <c r="D282" s="65"/>
      <c r="E282" s="67"/>
      <c r="F282" s="65"/>
    </row>
    <row r="283" spans="1:110" x14ac:dyDescent="0.25">
      <c r="D283" s="65"/>
      <c r="E283" s="67"/>
      <c r="F283" s="65"/>
    </row>
  </sheetData>
  <mergeCells count="6">
    <mergeCell ref="A1:F1"/>
    <mergeCell ref="A2:A3"/>
    <mergeCell ref="B2:B3"/>
    <mergeCell ref="C2:C3"/>
    <mergeCell ref="D2:D3"/>
    <mergeCell ref="E2:F2"/>
  </mergeCells>
  <pageMargins left="0.25" right="0.25" top="0.75" bottom="0.75" header="0.3" footer="0.3"/>
  <pageSetup paperSize="9" scale="7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F1007"/>
  <sheetViews>
    <sheetView tabSelected="1" zoomScale="65" zoomScaleNormal="65" workbookViewId="0">
      <pane ySplit="3" topLeftCell="A4" activePane="bottomLeft" state="frozen"/>
      <selection pane="bottomLeft" sqref="A1:N1"/>
    </sheetView>
  </sheetViews>
  <sheetFormatPr defaultColWidth="0" defaultRowHeight="15.75" outlineLevelRow="1" x14ac:dyDescent="0.25"/>
  <cols>
    <col min="1" max="1" width="5.7109375" style="3" customWidth="1"/>
    <col min="2" max="2" width="15.7109375" style="4" customWidth="1"/>
    <col min="3" max="3" width="60.7109375" style="5" customWidth="1"/>
    <col min="4" max="7" width="15.7109375" style="26" customWidth="1"/>
    <col min="8" max="8" width="15.7109375" style="6" customWidth="1"/>
    <col min="9" max="9" width="15.7109375" style="7" customWidth="1"/>
    <col min="10" max="10" width="20.7109375" style="7" customWidth="1"/>
    <col min="11" max="14" width="30.7109375" style="5" customWidth="1"/>
    <col min="15" max="16384" width="9.140625" style="8" hidden="1"/>
  </cols>
  <sheetData>
    <row r="1" spans="1:110" s="1" customFormat="1" ht="30" customHeight="1" x14ac:dyDescent="0.25">
      <c r="A1" s="41" t="s">
        <v>25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3"/>
      <c r="O1" s="28"/>
    </row>
    <row r="2" spans="1:110" s="1" customFormat="1" ht="30" customHeight="1" x14ac:dyDescent="0.25">
      <c r="A2" s="44" t="s">
        <v>4</v>
      </c>
      <c r="B2" s="40" t="s">
        <v>0</v>
      </c>
      <c r="C2" s="47" t="s">
        <v>5</v>
      </c>
      <c r="D2" s="40" t="s">
        <v>26</v>
      </c>
      <c r="E2" s="40"/>
      <c r="F2" s="40"/>
      <c r="G2" s="40"/>
      <c r="H2" s="49" t="s">
        <v>10</v>
      </c>
      <c r="I2" s="40" t="s">
        <v>27</v>
      </c>
      <c r="J2" s="40"/>
      <c r="K2" s="51" t="s">
        <v>28</v>
      </c>
      <c r="L2" s="52"/>
      <c r="M2" s="52"/>
      <c r="N2" s="53" t="s">
        <v>29</v>
      </c>
    </row>
    <row r="3" spans="1:110" s="1" customFormat="1" ht="30" customHeight="1" x14ac:dyDescent="0.25">
      <c r="A3" s="45"/>
      <c r="B3" s="46"/>
      <c r="C3" s="48"/>
      <c r="D3" s="25" t="s">
        <v>6</v>
      </c>
      <c r="E3" s="25" t="s">
        <v>7</v>
      </c>
      <c r="F3" s="25" t="s">
        <v>8</v>
      </c>
      <c r="G3" s="25" t="s">
        <v>9</v>
      </c>
      <c r="H3" s="50"/>
      <c r="I3" s="2" t="s">
        <v>11</v>
      </c>
      <c r="J3" s="2" t="s">
        <v>12</v>
      </c>
      <c r="K3" s="27" t="s">
        <v>22</v>
      </c>
      <c r="L3" s="27" t="s">
        <v>23</v>
      </c>
      <c r="M3" s="29" t="s">
        <v>24</v>
      </c>
      <c r="N3" s="54"/>
      <c r="O3" s="28"/>
    </row>
    <row r="4" spans="1:110" ht="31.5" x14ac:dyDescent="0.25">
      <c r="A4" s="3">
        <v>1</v>
      </c>
      <c r="B4" s="56" t="str">
        <f>('Elenco Prezzi'!$A$4)</f>
        <v>100.100</v>
      </c>
      <c r="C4" s="23" t="str">
        <f>('Elenco Prezzi'!$B$4)</f>
        <v>Intonaco beige per soletta</v>
      </c>
      <c r="D4" s="68"/>
      <c r="E4" s="68"/>
      <c r="F4" s="68"/>
      <c r="G4" s="68"/>
      <c r="H4" s="69"/>
      <c r="I4" s="65"/>
      <c r="J4" s="65"/>
      <c r="K4" s="58" t="s">
        <v>231</v>
      </c>
      <c r="L4" s="58" t="s">
        <v>232</v>
      </c>
      <c r="M4" s="58" t="s">
        <v>233</v>
      </c>
      <c r="N4" s="58" t="s">
        <v>234</v>
      </c>
      <c r="DF4" s="8" t="s">
        <v>514</v>
      </c>
    </row>
    <row r="5" spans="1:110" hidden="1" outlineLevel="1" x14ac:dyDescent="0.25">
      <c r="C5" s="57" t="str">
        <f>('Elenco Prezzi'!$B$5)</f>
        <v>Intonaco beige per soletta</v>
      </c>
      <c r="D5" s="70"/>
      <c r="E5" s="70"/>
      <c r="F5" s="70"/>
      <c r="G5" s="70"/>
      <c r="H5" s="69"/>
      <c r="I5" s="65"/>
      <c r="J5" s="65"/>
      <c r="DF5" s="8" t="s">
        <v>514</v>
      </c>
    </row>
    <row r="6" spans="1:110" hidden="1" outlineLevel="1" x14ac:dyDescent="0.25">
      <c r="C6" s="57" t="str">
        <f>('Elenco Prezzi'!$B$6)</f>
        <v>Intonaco beige per soletta</v>
      </c>
      <c r="D6" s="70"/>
      <c r="E6" s="70"/>
      <c r="F6" s="70"/>
      <c r="G6" s="70"/>
      <c r="H6" s="69"/>
      <c r="I6" s="65"/>
      <c r="J6" s="65"/>
      <c r="DF6" s="8" t="s">
        <v>514</v>
      </c>
    </row>
    <row r="7" spans="1:110" outlineLevel="1" x14ac:dyDescent="0.25">
      <c r="C7" s="59" t="s">
        <v>235</v>
      </c>
      <c r="D7" s="70"/>
      <c r="E7" s="70"/>
      <c r="F7" s="70"/>
      <c r="G7" s="70"/>
      <c r="H7" s="69"/>
      <c r="I7" s="65"/>
      <c r="J7" s="65"/>
      <c r="DF7" s="8" t="s">
        <v>514</v>
      </c>
    </row>
    <row r="8" spans="1:110" ht="31.5" outlineLevel="1" x14ac:dyDescent="0.25">
      <c r="C8" s="5" t="s">
        <v>236</v>
      </c>
      <c r="D8" s="70">
        <v>341.392</v>
      </c>
      <c r="E8" s="70"/>
      <c r="F8" s="70"/>
      <c r="G8" s="70">
        <v>1.4999999999999999E-2</v>
      </c>
      <c r="H8" s="69">
        <f>PRODUCT($CV$8,$CW$8,$CX$8,$CY$8)</f>
        <v>5.1208799999999997</v>
      </c>
      <c r="I8" s="65"/>
      <c r="J8" s="65"/>
      <c r="CV8" s="8">
        <f>(341.392)</f>
        <v>341.392</v>
      </c>
      <c r="CY8" s="8">
        <f>(0.015)</f>
        <v>1.4999999999999999E-2</v>
      </c>
      <c r="DF8" s="8" t="s">
        <v>514</v>
      </c>
    </row>
    <row r="9" spans="1:110" x14ac:dyDescent="0.25">
      <c r="C9" s="60" t="str">
        <f>CONCATENATE("SOMMANO " &amp; 'Elenco Prezzi'!$C$4)</f>
        <v>SOMMANO m3</v>
      </c>
      <c r="D9" s="70"/>
      <c r="E9" s="70"/>
      <c r="F9" s="70"/>
      <c r="G9" s="70"/>
      <c r="H9" s="69">
        <f>SUM($H$8:$H$8)</f>
        <v>5.1208799999999997</v>
      </c>
      <c r="I9" s="65">
        <f>('Elenco Prezzi'!$D$4)</f>
        <v>8</v>
      </c>
      <c r="J9" s="65">
        <f>PRODUCT($H$9,$I$9)</f>
        <v>40.967039999999997</v>
      </c>
      <c r="DF9" s="8" t="s">
        <v>514</v>
      </c>
    </row>
    <row r="10" spans="1:110" ht="31.5" x14ac:dyDescent="0.25">
      <c r="A10" s="3">
        <v>2</v>
      </c>
      <c r="B10" s="56" t="str">
        <f>('Elenco Prezzi'!$A$4)</f>
        <v>100.100</v>
      </c>
      <c r="C10" s="23" t="str">
        <f>('Elenco Prezzi'!$B$4)</f>
        <v>Intonaco beige per soletta</v>
      </c>
      <c r="D10" s="70"/>
      <c r="E10" s="70"/>
      <c r="F10" s="70"/>
      <c r="G10" s="70"/>
      <c r="H10" s="69"/>
      <c r="I10" s="65"/>
      <c r="J10" s="65"/>
      <c r="K10" s="58" t="s">
        <v>237</v>
      </c>
      <c r="L10" s="58" t="s">
        <v>232</v>
      </c>
      <c r="M10" s="58" t="s">
        <v>233</v>
      </c>
      <c r="N10" s="58" t="s">
        <v>234</v>
      </c>
      <c r="DF10" s="8" t="s">
        <v>514</v>
      </c>
    </row>
    <row r="11" spans="1:110" hidden="1" outlineLevel="1" x14ac:dyDescent="0.25">
      <c r="C11" s="57" t="str">
        <f>('Elenco Prezzi'!$B$5)</f>
        <v>Intonaco beige per soletta</v>
      </c>
      <c r="D11" s="70"/>
      <c r="E11" s="70"/>
      <c r="F11" s="70"/>
      <c r="G11" s="70"/>
      <c r="H11" s="69"/>
      <c r="I11" s="65"/>
      <c r="J11" s="65"/>
      <c r="DF11" s="8" t="s">
        <v>514</v>
      </c>
    </row>
    <row r="12" spans="1:110" hidden="1" outlineLevel="1" x14ac:dyDescent="0.25">
      <c r="C12" s="57" t="str">
        <f>('Elenco Prezzi'!$B$6)</f>
        <v>Intonaco beige per soletta</v>
      </c>
      <c r="D12" s="70"/>
      <c r="E12" s="70"/>
      <c r="F12" s="70"/>
      <c r="G12" s="70"/>
      <c r="H12" s="69"/>
      <c r="I12" s="65"/>
      <c r="J12" s="65"/>
      <c r="DF12" s="8" t="s">
        <v>514</v>
      </c>
    </row>
    <row r="13" spans="1:110" outlineLevel="1" x14ac:dyDescent="0.25">
      <c r="C13" s="59" t="s">
        <v>235</v>
      </c>
      <c r="D13" s="70"/>
      <c r="E13" s="70"/>
      <c r="F13" s="70"/>
      <c r="G13" s="70"/>
      <c r="H13" s="69"/>
      <c r="I13" s="65"/>
      <c r="J13" s="65"/>
      <c r="DF13" s="8" t="s">
        <v>514</v>
      </c>
    </row>
    <row r="14" spans="1:110" ht="31.5" outlineLevel="1" x14ac:dyDescent="0.25">
      <c r="C14" s="5" t="s">
        <v>238</v>
      </c>
      <c r="D14" s="70">
        <v>341.392</v>
      </c>
      <c r="E14" s="70"/>
      <c r="F14" s="70"/>
      <c r="G14" s="70">
        <v>1.4999999999999999E-2</v>
      </c>
      <c r="H14" s="69">
        <f>PRODUCT($CV$14,$CW$14,$CX$14,$CY$14)</f>
        <v>5.1208799999999997</v>
      </c>
      <c r="I14" s="65"/>
      <c r="J14" s="65"/>
      <c r="CV14" s="8">
        <f>(341.392)</f>
        <v>341.392</v>
      </c>
      <c r="CY14" s="8">
        <f>(0.015)</f>
        <v>1.4999999999999999E-2</v>
      </c>
      <c r="DF14" s="8" t="s">
        <v>514</v>
      </c>
    </row>
    <row r="15" spans="1:110" x14ac:dyDescent="0.25">
      <c r="C15" s="60" t="str">
        <f>CONCATENATE("SOMMANO " &amp; 'Elenco Prezzi'!$C$4)</f>
        <v>SOMMANO m3</v>
      </c>
      <c r="D15" s="70"/>
      <c r="E15" s="70"/>
      <c r="F15" s="70"/>
      <c r="G15" s="70"/>
      <c r="H15" s="69">
        <f>SUM($H$14:$H$14)</f>
        <v>5.1208799999999997</v>
      </c>
      <c r="I15" s="65">
        <f>('Elenco Prezzi'!$D$4)</f>
        <v>8</v>
      </c>
      <c r="J15" s="65">
        <f>PRODUCT($H$15,$I$15)</f>
        <v>40.967039999999997</v>
      </c>
      <c r="DF15" s="8" t="s">
        <v>514</v>
      </c>
    </row>
    <row r="16" spans="1:110" ht="31.5" x14ac:dyDescent="0.25">
      <c r="A16" s="3">
        <v>3</v>
      </c>
      <c r="B16" s="56" t="str">
        <f>('Elenco Prezzi'!$A$7)</f>
        <v>100.101</v>
      </c>
      <c r="C16" s="23" t="str">
        <f>('Elenco Prezzi'!$B$7)</f>
        <v>Intonaco bianco</v>
      </c>
      <c r="D16" s="70"/>
      <c r="E16" s="70"/>
      <c r="F16" s="70"/>
      <c r="G16" s="70"/>
      <c r="H16" s="69"/>
      <c r="I16" s="65"/>
      <c r="J16" s="65"/>
      <c r="K16" s="58" t="s">
        <v>239</v>
      </c>
      <c r="L16" s="58" t="s">
        <v>232</v>
      </c>
      <c r="M16" s="58" t="s">
        <v>232</v>
      </c>
      <c r="N16" s="58" t="s">
        <v>234</v>
      </c>
      <c r="DF16" s="8" t="s">
        <v>514</v>
      </c>
    </row>
    <row r="17" spans="1:110" hidden="1" outlineLevel="1" x14ac:dyDescent="0.25">
      <c r="C17" s="57" t="str">
        <f>('Elenco Prezzi'!$B$8)</f>
        <v>Intonaco bianco</v>
      </c>
      <c r="D17" s="70"/>
      <c r="E17" s="70"/>
      <c r="F17" s="70"/>
      <c r="G17" s="70"/>
      <c r="H17" s="69"/>
      <c r="I17" s="65"/>
      <c r="J17" s="65"/>
      <c r="DF17" s="8" t="s">
        <v>514</v>
      </c>
    </row>
    <row r="18" spans="1:110" hidden="1" outlineLevel="1" x14ac:dyDescent="0.25">
      <c r="C18" s="57" t="str">
        <f>('Elenco Prezzi'!$B$9)</f>
        <v>Intonaco bianco</v>
      </c>
      <c r="D18" s="70"/>
      <c r="E18" s="70"/>
      <c r="F18" s="70"/>
      <c r="G18" s="70"/>
      <c r="H18" s="69"/>
      <c r="I18" s="65"/>
      <c r="J18" s="65"/>
      <c r="DF18" s="8" t="s">
        <v>514</v>
      </c>
    </row>
    <row r="19" spans="1:110" outlineLevel="1" x14ac:dyDescent="0.25">
      <c r="C19" s="59" t="s">
        <v>235</v>
      </c>
      <c r="D19" s="70"/>
      <c r="E19" s="70"/>
      <c r="F19" s="70"/>
      <c r="G19" s="70"/>
      <c r="H19" s="69"/>
      <c r="I19" s="65"/>
      <c r="J19" s="65"/>
      <c r="DF19" s="8" t="s">
        <v>514</v>
      </c>
    </row>
    <row r="20" spans="1:110" outlineLevel="1" x14ac:dyDescent="0.25">
      <c r="C20" s="5" t="s">
        <v>240</v>
      </c>
      <c r="D20" s="70"/>
      <c r="E20" s="70">
        <v>12</v>
      </c>
      <c r="F20" s="70">
        <v>0.15</v>
      </c>
      <c r="G20" s="70">
        <v>3.6</v>
      </c>
      <c r="H20" s="69">
        <f>PRODUCT($CV$20,$CW$20,$CX$20,$CY$20)</f>
        <v>6.4799999999999995</v>
      </c>
      <c r="I20" s="65"/>
      <c r="J20" s="65"/>
      <c r="CW20" s="8">
        <f>(12)</f>
        <v>12</v>
      </c>
      <c r="CX20" s="8">
        <f>(0.15)</f>
        <v>0.15</v>
      </c>
      <c r="CY20" s="8">
        <f>(3.6)</f>
        <v>3.6</v>
      </c>
      <c r="DF20" s="8" t="s">
        <v>514</v>
      </c>
    </row>
    <row r="21" spans="1:110" outlineLevel="1" x14ac:dyDescent="0.25">
      <c r="C21" s="5" t="s">
        <v>241</v>
      </c>
      <c r="D21" s="70"/>
      <c r="E21" s="70">
        <v>20.405000000000001</v>
      </c>
      <c r="F21" s="70">
        <v>0.15</v>
      </c>
      <c r="G21" s="70">
        <v>3.6</v>
      </c>
      <c r="H21" s="69">
        <f>PRODUCT($CV$21,$CW$21,$CX$21,$CY$21)</f>
        <v>11.018700000000001</v>
      </c>
      <c r="I21" s="65"/>
      <c r="J21" s="65"/>
      <c r="CW21" s="8">
        <f>(20.405)</f>
        <v>20.405000000000001</v>
      </c>
      <c r="CX21" s="8">
        <f>(0.15)</f>
        <v>0.15</v>
      </c>
      <c r="CY21" s="8">
        <f>(3.6)</f>
        <v>3.6</v>
      </c>
      <c r="DF21" s="8" t="s">
        <v>514</v>
      </c>
    </row>
    <row r="22" spans="1:110" outlineLevel="1" x14ac:dyDescent="0.25">
      <c r="C22" s="5" t="s">
        <v>242</v>
      </c>
      <c r="D22" s="70"/>
      <c r="E22" s="70">
        <v>12</v>
      </c>
      <c r="F22" s="70">
        <v>0.15</v>
      </c>
      <c r="G22" s="70">
        <v>3.6</v>
      </c>
      <c r="H22" s="69">
        <f>PRODUCT($CV$22,$CW$22,$CX$22,$CY$22)</f>
        <v>6.4799999999999995</v>
      </c>
      <c r="I22" s="65"/>
      <c r="J22" s="65"/>
      <c r="CW22" s="8">
        <f>(12)</f>
        <v>12</v>
      </c>
      <c r="CX22" s="8">
        <f>(0.15)</f>
        <v>0.15</v>
      </c>
      <c r="CY22" s="8">
        <f>(3.6)</f>
        <v>3.6</v>
      </c>
      <c r="DF22" s="8" t="s">
        <v>514</v>
      </c>
    </row>
    <row r="23" spans="1:110" ht="31.5" outlineLevel="1" x14ac:dyDescent="0.25">
      <c r="A23" s="61"/>
      <c r="B23" s="62"/>
      <c r="C23" s="63" t="s">
        <v>243</v>
      </c>
      <c r="D23" s="71">
        <v>1</v>
      </c>
      <c r="E23" s="71">
        <v>0.9</v>
      </c>
      <c r="F23" s="71">
        <v>0.15</v>
      </c>
      <c r="G23" s="71">
        <v>1.5</v>
      </c>
      <c r="H23" s="72">
        <f>PRODUCT($CV$23,$CW$23,$CX$23,$CY$23) * -1</f>
        <v>-0.20250000000000001</v>
      </c>
      <c r="I23" s="65"/>
      <c r="J23" s="65"/>
      <c r="CV23" s="8">
        <f>(1)</f>
        <v>1</v>
      </c>
      <c r="CW23" s="8">
        <f>(0.9)</f>
        <v>0.9</v>
      </c>
      <c r="CX23" s="8">
        <f>(0.15)</f>
        <v>0.15</v>
      </c>
      <c r="CY23" s="8">
        <f>(1.5)</f>
        <v>1.5</v>
      </c>
      <c r="DF23" s="8" t="s">
        <v>514</v>
      </c>
    </row>
    <row r="24" spans="1:110" ht="31.5" outlineLevel="1" x14ac:dyDescent="0.25">
      <c r="A24" s="61"/>
      <c r="B24" s="62"/>
      <c r="C24" s="63" t="s">
        <v>244</v>
      </c>
      <c r="D24" s="71">
        <v>1</v>
      </c>
      <c r="E24" s="71">
        <v>0.9</v>
      </c>
      <c r="F24" s="71">
        <v>0.15</v>
      </c>
      <c r="G24" s="71">
        <v>1.5</v>
      </c>
      <c r="H24" s="72">
        <f>PRODUCT($CV$24,$CW$24,$CX$24,$CY$24) * -1</f>
        <v>-0.20250000000000001</v>
      </c>
      <c r="I24" s="65"/>
      <c r="J24" s="65"/>
      <c r="CV24" s="8">
        <f>(1)</f>
        <v>1</v>
      </c>
      <c r="CW24" s="8">
        <f>(0.9)</f>
        <v>0.9</v>
      </c>
      <c r="CX24" s="8">
        <f>(0.15)</f>
        <v>0.15</v>
      </c>
      <c r="CY24" s="8">
        <f>(1.5)</f>
        <v>1.5</v>
      </c>
      <c r="DF24" s="8" t="s">
        <v>514</v>
      </c>
    </row>
    <row r="25" spans="1:110" ht="31.5" outlineLevel="1" x14ac:dyDescent="0.25">
      <c r="A25" s="61"/>
      <c r="B25" s="62"/>
      <c r="C25" s="63" t="s">
        <v>245</v>
      </c>
      <c r="D25" s="71">
        <v>1</v>
      </c>
      <c r="E25" s="71">
        <v>0.9</v>
      </c>
      <c r="F25" s="71">
        <v>0.15</v>
      </c>
      <c r="G25" s="71">
        <v>1.5</v>
      </c>
      <c r="H25" s="72">
        <f>PRODUCT($CV$25,$CW$25,$CX$25,$CY$25) * -1</f>
        <v>-0.20250000000000001</v>
      </c>
      <c r="I25" s="65"/>
      <c r="J25" s="65"/>
      <c r="CV25" s="8">
        <f>(1)</f>
        <v>1</v>
      </c>
      <c r="CW25" s="8">
        <f>(0.9)</f>
        <v>0.9</v>
      </c>
      <c r="CX25" s="8">
        <f>(0.15)</f>
        <v>0.15</v>
      </c>
      <c r="CY25" s="8">
        <f>(1.5)</f>
        <v>1.5</v>
      </c>
      <c r="DF25" s="8" t="s">
        <v>514</v>
      </c>
    </row>
    <row r="26" spans="1:110" x14ac:dyDescent="0.25">
      <c r="C26" s="60" t="str">
        <f>CONCATENATE("SOMMANO " &amp; 'Elenco Prezzi'!$C$7)</f>
        <v>SOMMANO m3</v>
      </c>
      <c r="D26" s="70"/>
      <c r="E26" s="70"/>
      <c r="F26" s="70"/>
      <c r="G26" s="70"/>
      <c r="H26" s="69">
        <f>SUM($H$20:$H$25)</f>
        <v>23.371199999999998</v>
      </c>
      <c r="I26" s="65">
        <f>('Elenco Prezzi'!$D$7)</f>
        <v>8</v>
      </c>
      <c r="J26" s="65">
        <f>PRODUCT($H$26,$I$26)</f>
        <v>186.96959999999999</v>
      </c>
      <c r="DF26" s="8" t="s">
        <v>514</v>
      </c>
    </row>
    <row r="27" spans="1:110" ht="31.5" x14ac:dyDescent="0.25">
      <c r="A27" s="3">
        <v>4</v>
      </c>
      <c r="B27" s="56" t="str">
        <f>('Elenco Prezzi'!$A$7)</f>
        <v>100.101</v>
      </c>
      <c r="C27" s="23" t="str">
        <f>('Elenco Prezzi'!$B$7)</f>
        <v>Intonaco bianco</v>
      </c>
      <c r="D27" s="70"/>
      <c r="E27" s="70"/>
      <c r="F27" s="70"/>
      <c r="G27" s="70"/>
      <c r="H27" s="69"/>
      <c r="I27" s="65"/>
      <c r="J27" s="65"/>
      <c r="K27" s="58" t="s">
        <v>231</v>
      </c>
      <c r="L27" s="58" t="s">
        <v>232</v>
      </c>
      <c r="M27" s="58" t="s">
        <v>232</v>
      </c>
      <c r="N27" s="58" t="s">
        <v>234</v>
      </c>
      <c r="DF27" s="8" t="s">
        <v>514</v>
      </c>
    </row>
    <row r="28" spans="1:110" hidden="1" outlineLevel="1" x14ac:dyDescent="0.25">
      <c r="C28" s="57" t="str">
        <f>('Elenco Prezzi'!$B$8)</f>
        <v>Intonaco bianco</v>
      </c>
      <c r="D28" s="70"/>
      <c r="E28" s="70"/>
      <c r="F28" s="70"/>
      <c r="G28" s="70"/>
      <c r="H28" s="69"/>
      <c r="I28" s="65"/>
      <c r="J28" s="65"/>
      <c r="DF28" s="8" t="s">
        <v>514</v>
      </c>
    </row>
    <row r="29" spans="1:110" hidden="1" outlineLevel="1" x14ac:dyDescent="0.25">
      <c r="C29" s="57" t="str">
        <f>('Elenco Prezzi'!$B$9)</f>
        <v>Intonaco bianco</v>
      </c>
      <c r="D29" s="70"/>
      <c r="E29" s="70"/>
      <c r="F29" s="70"/>
      <c r="G29" s="70"/>
      <c r="H29" s="69"/>
      <c r="I29" s="65"/>
      <c r="J29" s="65"/>
      <c r="DF29" s="8" t="s">
        <v>514</v>
      </c>
    </row>
    <row r="30" spans="1:110" outlineLevel="1" x14ac:dyDescent="0.25">
      <c r="C30" s="59" t="s">
        <v>235</v>
      </c>
      <c r="D30" s="70"/>
      <c r="E30" s="70"/>
      <c r="F30" s="70"/>
      <c r="G30" s="70"/>
      <c r="H30" s="69"/>
      <c r="I30" s="65"/>
      <c r="J30" s="65"/>
      <c r="DF30" s="8" t="s">
        <v>514</v>
      </c>
    </row>
    <row r="31" spans="1:110" outlineLevel="1" x14ac:dyDescent="0.25">
      <c r="C31" s="5" t="s">
        <v>246</v>
      </c>
      <c r="D31" s="70"/>
      <c r="E31" s="70">
        <v>3</v>
      </c>
      <c r="F31" s="70">
        <v>1.4999999999999999E-2</v>
      </c>
      <c r="G31" s="70">
        <v>3.6</v>
      </c>
      <c r="H31" s="69">
        <f>PRODUCT($CV$31,$CW$31,$CX$31,$CY$31)</f>
        <v>0.16200000000000001</v>
      </c>
      <c r="I31" s="65"/>
      <c r="J31" s="65"/>
      <c r="CW31" s="8">
        <f>(3)</f>
        <v>3</v>
      </c>
      <c r="CX31" s="8">
        <f>(0.015)</f>
        <v>1.4999999999999999E-2</v>
      </c>
      <c r="CY31" s="8">
        <f>(3.6)</f>
        <v>3.6</v>
      </c>
      <c r="DF31" s="8" t="s">
        <v>514</v>
      </c>
    </row>
    <row r="32" spans="1:110" outlineLevel="1" x14ac:dyDescent="0.25">
      <c r="C32" s="5" t="s">
        <v>247</v>
      </c>
      <c r="D32" s="70"/>
      <c r="E32" s="70">
        <v>15.333</v>
      </c>
      <c r="F32" s="70">
        <v>1.4999999999999999E-2</v>
      </c>
      <c r="G32" s="70">
        <v>3.6</v>
      </c>
      <c r="H32" s="69">
        <f>PRODUCT($CV$32,$CW$32,$CX$32,$CY$32)</f>
        <v>0.827982</v>
      </c>
      <c r="I32" s="65"/>
      <c r="J32" s="65"/>
      <c r="CW32" s="8">
        <f>(15.333)</f>
        <v>15.333</v>
      </c>
      <c r="CX32" s="8">
        <f>(0.015)</f>
        <v>1.4999999999999999E-2</v>
      </c>
      <c r="CY32" s="8">
        <f>(3.6)</f>
        <v>3.6</v>
      </c>
      <c r="DF32" s="8" t="s">
        <v>514</v>
      </c>
    </row>
    <row r="33" spans="3:110" outlineLevel="1" x14ac:dyDescent="0.25">
      <c r="C33" s="5" t="s">
        <v>248</v>
      </c>
      <c r="D33" s="70"/>
      <c r="E33" s="70">
        <v>5.907</v>
      </c>
      <c r="F33" s="70">
        <v>1.4999999999999999E-2</v>
      </c>
      <c r="G33" s="70">
        <v>3.6</v>
      </c>
      <c r="H33" s="69">
        <f>PRODUCT($CV$33,$CW$33,$CX$33,$CY$33)</f>
        <v>0.31897800000000004</v>
      </c>
      <c r="I33" s="65"/>
      <c r="J33" s="65"/>
      <c r="CW33" s="8">
        <f>(5.907)</f>
        <v>5.907</v>
      </c>
      <c r="CX33" s="8">
        <f>(0.015)</f>
        <v>1.4999999999999999E-2</v>
      </c>
      <c r="CY33" s="8">
        <f>(3.6)</f>
        <v>3.6</v>
      </c>
      <c r="DF33" s="8" t="s">
        <v>514</v>
      </c>
    </row>
    <row r="34" spans="3:110" outlineLevel="1" x14ac:dyDescent="0.25">
      <c r="C34" s="5" t="s">
        <v>249</v>
      </c>
      <c r="D34" s="70"/>
      <c r="E34" s="70">
        <v>3.85</v>
      </c>
      <c r="F34" s="70">
        <v>1.4999999999999999E-2</v>
      </c>
      <c r="G34" s="70">
        <v>3.6</v>
      </c>
      <c r="H34" s="69">
        <f>PRODUCT($CV$34,$CW$34,$CX$34,$CY$34)</f>
        <v>0.2079</v>
      </c>
      <c r="I34" s="65"/>
      <c r="J34" s="65"/>
      <c r="CW34" s="8">
        <f>(3.85)</f>
        <v>3.85</v>
      </c>
      <c r="CX34" s="8">
        <f>(0.015)</f>
        <v>1.4999999999999999E-2</v>
      </c>
      <c r="CY34" s="8">
        <f>(3.6)</f>
        <v>3.6</v>
      </c>
      <c r="DF34" s="8" t="s">
        <v>514</v>
      </c>
    </row>
    <row r="35" spans="3:110" outlineLevel="1" x14ac:dyDescent="0.25">
      <c r="C35" s="5" t="s">
        <v>250</v>
      </c>
      <c r="D35" s="70"/>
      <c r="E35" s="70">
        <v>1.65</v>
      </c>
      <c r="F35" s="70">
        <v>1.4999999999999999E-2</v>
      </c>
      <c r="G35" s="70">
        <v>3.6</v>
      </c>
      <c r="H35" s="69">
        <f>PRODUCT($CV$35,$CW$35,$CX$35,$CY$35)</f>
        <v>8.9099999999999999E-2</v>
      </c>
      <c r="I35" s="65"/>
      <c r="J35" s="65"/>
      <c r="CW35" s="8">
        <f>(1.65)</f>
        <v>1.65</v>
      </c>
      <c r="CX35" s="8">
        <f>(0.015)</f>
        <v>1.4999999999999999E-2</v>
      </c>
      <c r="CY35" s="8">
        <f>(3.6)</f>
        <v>3.6</v>
      </c>
      <c r="DF35" s="8" t="s">
        <v>514</v>
      </c>
    </row>
    <row r="36" spans="3:110" outlineLevel="1" x14ac:dyDescent="0.25">
      <c r="C36" s="5" t="s">
        <v>251</v>
      </c>
      <c r="D36" s="70"/>
      <c r="E36" s="70">
        <v>3.85</v>
      </c>
      <c r="F36" s="70">
        <v>1.4999999999999999E-2</v>
      </c>
      <c r="G36" s="70">
        <v>3.6</v>
      </c>
      <c r="H36" s="69">
        <f>PRODUCT($CV$36,$CW$36,$CX$36,$CY$36)</f>
        <v>0.2079</v>
      </c>
      <c r="I36" s="65"/>
      <c r="J36" s="65"/>
      <c r="CW36" s="8">
        <f>(3.85)</f>
        <v>3.85</v>
      </c>
      <c r="CX36" s="8">
        <f>(0.015)</f>
        <v>1.4999999999999999E-2</v>
      </c>
      <c r="CY36" s="8">
        <f>(3.6)</f>
        <v>3.6</v>
      </c>
      <c r="DF36" s="8" t="s">
        <v>514</v>
      </c>
    </row>
    <row r="37" spans="3:110" outlineLevel="1" x14ac:dyDescent="0.25">
      <c r="C37" s="5" t="s">
        <v>252</v>
      </c>
      <c r="D37" s="70"/>
      <c r="E37" s="70">
        <v>3.71</v>
      </c>
      <c r="F37" s="70">
        <v>1.4999999999999999E-2</v>
      </c>
      <c r="G37" s="70">
        <v>3.6</v>
      </c>
      <c r="H37" s="69">
        <f>PRODUCT($CV$37,$CW$37,$CX$37,$CY$37)</f>
        <v>0.20033999999999999</v>
      </c>
      <c r="I37" s="65"/>
      <c r="J37" s="65"/>
      <c r="CW37" s="8">
        <f>(3.71)</f>
        <v>3.71</v>
      </c>
      <c r="CX37" s="8">
        <f>(0.015)</f>
        <v>1.4999999999999999E-2</v>
      </c>
      <c r="CY37" s="8">
        <f>(3.6)</f>
        <v>3.6</v>
      </c>
      <c r="DF37" s="8" t="s">
        <v>514</v>
      </c>
    </row>
    <row r="38" spans="3:110" outlineLevel="1" x14ac:dyDescent="0.25">
      <c r="C38" s="5" t="s">
        <v>253</v>
      </c>
      <c r="D38" s="70"/>
      <c r="E38" s="70">
        <v>3.85</v>
      </c>
      <c r="F38" s="70">
        <v>1.4999999999999999E-2</v>
      </c>
      <c r="G38" s="70">
        <v>3.6</v>
      </c>
      <c r="H38" s="69">
        <f>PRODUCT($CV$38,$CW$38,$CX$38,$CY$38)</f>
        <v>0.2079</v>
      </c>
      <c r="I38" s="65"/>
      <c r="J38" s="65"/>
      <c r="CW38" s="8">
        <f>(3.85)</f>
        <v>3.85</v>
      </c>
      <c r="CX38" s="8">
        <f>(0.015)</f>
        <v>1.4999999999999999E-2</v>
      </c>
      <c r="CY38" s="8">
        <f>(3.6)</f>
        <v>3.6</v>
      </c>
      <c r="DF38" s="8" t="s">
        <v>514</v>
      </c>
    </row>
    <row r="39" spans="3:110" outlineLevel="1" x14ac:dyDescent="0.25">
      <c r="C39" s="5" t="s">
        <v>254</v>
      </c>
      <c r="D39" s="70"/>
      <c r="E39" s="70">
        <v>3.85</v>
      </c>
      <c r="F39" s="70">
        <v>1.4999999999999999E-2</v>
      </c>
      <c r="G39" s="70">
        <v>3.6</v>
      </c>
      <c r="H39" s="69">
        <f>PRODUCT($CV$39,$CW$39,$CX$39,$CY$39)</f>
        <v>0.2079</v>
      </c>
      <c r="I39" s="65"/>
      <c r="J39" s="65"/>
      <c r="CW39" s="8">
        <f>(3.85)</f>
        <v>3.85</v>
      </c>
      <c r="CX39" s="8">
        <f>(0.015)</f>
        <v>1.4999999999999999E-2</v>
      </c>
      <c r="CY39" s="8">
        <f>(3.6)</f>
        <v>3.6</v>
      </c>
      <c r="DF39" s="8" t="s">
        <v>514</v>
      </c>
    </row>
    <row r="40" spans="3:110" outlineLevel="1" x14ac:dyDescent="0.25">
      <c r="C40" s="5" t="s">
        <v>255</v>
      </c>
      <c r="D40" s="70"/>
      <c r="E40" s="70">
        <v>1.262</v>
      </c>
      <c r="F40" s="70">
        <v>1.4999999999999999E-2</v>
      </c>
      <c r="G40" s="70">
        <v>3.6</v>
      </c>
      <c r="H40" s="69">
        <f>PRODUCT($CV$40,$CW$40,$CX$40,$CY$40)</f>
        <v>6.8148E-2</v>
      </c>
      <c r="I40" s="65"/>
      <c r="J40" s="65"/>
      <c r="CW40" s="8">
        <f>(1.262)</f>
        <v>1.262</v>
      </c>
      <c r="CX40" s="8">
        <f>(0.015)</f>
        <v>1.4999999999999999E-2</v>
      </c>
      <c r="CY40" s="8">
        <f>(3.6)</f>
        <v>3.6</v>
      </c>
      <c r="DF40" s="8" t="s">
        <v>514</v>
      </c>
    </row>
    <row r="41" spans="3:110" outlineLevel="1" x14ac:dyDescent="0.25">
      <c r="C41" s="5" t="s">
        <v>256</v>
      </c>
      <c r="D41" s="70"/>
      <c r="E41" s="70">
        <v>3.6920000000000002</v>
      </c>
      <c r="F41" s="70">
        <v>1.4999999999999999E-2</v>
      </c>
      <c r="G41" s="70">
        <v>3.6</v>
      </c>
      <c r="H41" s="69">
        <f>PRODUCT($CV$41,$CW$41,$CX$41,$CY$41)</f>
        <v>0.19936799999999999</v>
      </c>
      <c r="I41" s="65"/>
      <c r="J41" s="65"/>
      <c r="CW41" s="8">
        <f>(3.692)</f>
        <v>3.6920000000000002</v>
      </c>
      <c r="CX41" s="8">
        <f>(0.015)</f>
        <v>1.4999999999999999E-2</v>
      </c>
      <c r="CY41" s="8">
        <f>(3.6)</f>
        <v>3.6</v>
      </c>
      <c r="DF41" s="8" t="s">
        <v>514</v>
      </c>
    </row>
    <row r="42" spans="3:110" outlineLevel="1" x14ac:dyDescent="0.25">
      <c r="C42" s="5" t="s">
        <v>257</v>
      </c>
      <c r="D42" s="70"/>
      <c r="E42" s="70">
        <v>1.4370000000000001</v>
      </c>
      <c r="F42" s="70">
        <v>1.4999999999999999E-2</v>
      </c>
      <c r="G42" s="70">
        <v>3.6</v>
      </c>
      <c r="H42" s="69">
        <f>PRODUCT($CV$42,$CW$42,$CX$42,$CY$42)</f>
        <v>7.7598E-2</v>
      </c>
      <c r="I42" s="65"/>
      <c r="J42" s="65"/>
      <c r="CW42" s="8">
        <f>(1.437)</f>
        <v>1.4370000000000001</v>
      </c>
      <c r="CX42" s="8">
        <f>(0.015)</f>
        <v>1.4999999999999999E-2</v>
      </c>
      <c r="CY42" s="8">
        <f>(3.6)</f>
        <v>3.6</v>
      </c>
      <c r="DF42" s="8" t="s">
        <v>514</v>
      </c>
    </row>
    <row r="43" spans="3:110" outlineLevel="1" x14ac:dyDescent="0.25">
      <c r="C43" s="5" t="s">
        <v>258</v>
      </c>
      <c r="D43" s="70"/>
      <c r="E43" s="70">
        <v>3.8679999999999999</v>
      </c>
      <c r="F43" s="70">
        <v>1.4999999999999999E-2</v>
      </c>
      <c r="G43" s="70">
        <v>3.6</v>
      </c>
      <c r="H43" s="69">
        <f>PRODUCT($CV$43,$CW$43,$CX$43,$CY$43)</f>
        <v>0.20887199999999997</v>
      </c>
      <c r="I43" s="65"/>
      <c r="J43" s="65"/>
      <c r="CW43" s="8">
        <f>(3.868)</f>
        <v>3.8679999999999999</v>
      </c>
      <c r="CX43" s="8">
        <f>(0.015)</f>
        <v>1.4999999999999999E-2</v>
      </c>
      <c r="CY43" s="8">
        <f>(3.6)</f>
        <v>3.6</v>
      </c>
      <c r="DF43" s="8" t="s">
        <v>514</v>
      </c>
    </row>
    <row r="44" spans="3:110" outlineLevel="1" x14ac:dyDescent="0.25">
      <c r="C44" s="5" t="s">
        <v>259</v>
      </c>
      <c r="D44" s="70"/>
      <c r="E44" s="70">
        <v>11.39</v>
      </c>
      <c r="F44" s="70">
        <v>1.4999999999999999E-2</v>
      </c>
      <c r="G44" s="70">
        <v>3.6</v>
      </c>
      <c r="H44" s="69">
        <f>PRODUCT($CV$44,$CW$44,$CX$44,$CY$44)</f>
        <v>0.61506000000000005</v>
      </c>
      <c r="I44" s="65"/>
      <c r="J44" s="65"/>
      <c r="CW44" s="8">
        <f>(11.39)</f>
        <v>11.39</v>
      </c>
      <c r="CX44" s="8">
        <f>(0.015)</f>
        <v>1.4999999999999999E-2</v>
      </c>
      <c r="CY44" s="8">
        <f>(3.6)</f>
        <v>3.6</v>
      </c>
      <c r="DF44" s="8" t="s">
        <v>514</v>
      </c>
    </row>
    <row r="45" spans="3:110" outlineLevel="1" x14ac:dyDescent="0.25">
      <c r="C45" s="5" t="s">
        <v>260</v>
      </c>
      <c r="D45" s="70"/>
      <c r="E45" s="70">
        <v>5.9610000000000003</v>
      </c>
      <c r="F45" s="70">
        <v>1.4999999999999999E-2</v>
      </c>
      <c r="G45" s="70">
        <v>3.6</v>
      </c>
      <c r="H45" s="69">
        <f>PRODUCT($CV$45,$CW$45,$CX$45,$CY$45)</f>
        <v>0.32189400000000001</v>
      </c>
      <c r="I45" s="65"/>
      <c r="J45" s="65"/>
      <c r="CW45" s="8">
        <f>(5.961)</f>
        <v>5.9610000000000003</v>
      </c>
      <c r="CX45" s="8">
        <f>(0.015)</f>
        <v>1.4999999999999999E-2</v>
      </c>
      <c r="CY45" s="8">
        <f>(3.6)</f>
        <v>3.6</v>
      </c>
      <c r="DF45" s="8" t="s">
        <v>514</v>
      </c>
    </row>
    <row r="46" spans="3:110" outlineLevel="1" x14ac:dyDescent="0.25">
      <c r="C46" s="5" t="s">
        <v>261</v>
      </c>
      <c r="D46" s="70"/>
      <c r="E46" s="70">
        <v>2.1800000000000002</v>
      </c>
      <c r="F46" s="70">
        <v>1.4999999999999999E-2</v>
      </c>
      <c r="G46" s="70">
        <v>3.6</v>
      </c>
      <c r="H46" s="69">
        <f>PRODUCT($CV$46,$CW$46,$CX$46,$CY$46)</f>
        <v>0.11772000000000001</v>
      </c>
      <c r="I46" s="65"/>
      <c r="J46" s="65"/>
      <c r="CW46" s="8">
        <f>(2.18)</f>
        <v>2.1800000000000002</v>
      </c>
      <c r="CX46" s="8">
        <f>(0.015)</f>
        <v>1.4999999999999999E-2</v>
      </c>
      <c r="CY46" s="8">
        <f>(3.6)</f>
        <v>3.6</v>
      </c>
      <c r="DF46" s="8" t="s">
        <v>514</v>
      </c>
    </row>
    <row r="47" spans="3:110" outlineLevel="1" x14ac:dyDescent="0.25">
      <c r="C47" s="5" t="s">
        <v>262</v>
      </c>
      <c r="D47" s="70"/>
      <c r="E47" s="70">
        <v>2.3199999999999998</v>
      </c>
      <c r="F47" s="70">
        <v>1.4999999999999999E-2</v>
      </c>
      <c r="G47" s="70">
        <v>3.6</v>
      </c>
      <c r="H47" s="69">
        <f>PRODUCT($CV$47,$CW$47,$CX$47,$CY$47)</f>
        <v>0.12528</v>
      </c>
      <c r="I47" s="65"/>
      <c r="J47" s="65"/>
      <c r="CW47" s="8">
        <f>(2.32)</f>
        <v>2.3199999999999998</v>
      </c>
      <c r="CX47" s="8">
        <f>(0.015)</f>
        <v>1.4999999999999999E-2</v>
      </c>
      <c r="CY47" s="8">
        <f>(3.6)</f>
        <v>3.6</v>
      </c>
      <c r="DF47" s="8" t="s">
        <v>514</v>
      </c>
    </row>
    <row r="48" spans="3:110" outlineLevel="1" x14ac:dyDescent="0.25">
      <c r="C48" s="5" t="s">
        <v>263</v>
      </c>
      <c r="D48" s="70"/>
      <c r="E48" s="70">
        <v>3.7269999999999999</v>
      </c>
      <c r="F48" s="70">
        <v>1.4999999999999999E-2</v>
      </c>
      <c r="G48" s="70">
        <v>3.6</v>
      </c>
      <c r="H48" s="69">
        <f>PRODUCT($CV$48,$CW$48,$CX$48,$CY$48)</f>
        <v>0.20125799999999999</v>
      </c>
      <c r="I48" s="65"/>
      <c r="J48" s="65"/>
      <c r="CW48" s="8">
        <f>(3.727)</f>
        <v>3.7269999999999999</v>
      </c>
      <c r="CX48" s="8">
        <f>(0.015)</f>
        <v>1.4999999999999999E-2</v>
      </c>
      <c r="CY48" s="8">
        <f>(3.6)</f>
        <v>3.6</v>
      </c>
      <c r="DF48" s="8" t="s">
        <v>514</v>
      </c>
    </row>
    <row r="49" spans="1:110" outlineLevel="1" x14ac:dyDescent="0.25">
      <c r="C49" s="5" t="s">
        <v>264</v>
      </c>
      <c r="D49" s="70"/>
      <c r="E49" s="70">
        <v>11.525</v>
      </c>
      <c r="F49" s="70">
        <v>0.15</v>
      </c>
      <c r="G49" s="70">
        <v>3.6</v>
      </c>
      <c r="H49" s="69">
        <f>PRODUCT($CV$49,$CW$49,$CX$49,$CY$49)</f>
        <v>6.2235000000000005</v>
      </c>
      <c r="I49" s="65"/>
      <c r="J49" s="65"/>
      <c r="CW49" s="8">
        <f>(11.525)</f>
        <v>11.525</v>
      </c>
      <c r="CX49" s="8">
        <f>(0.15)</f>
        <v>0.15</v>
      </c>
      <c r="CY49" s="8">
        <f>(3.6)</f>
        <v>3.6</v>
      </c>
      <c r="DF49" s="8" t="s">
        <v>514</v>
      </c>
    </row>
    <row r="50" spans="1:110" outlineLevel="1" x14ac:dyDescent="0.25">
      <c r="C50" s="5" t="s">
        <v>265</v>
      </c>
      <c r="D50" s="70"/>
      <c r="E50" s="70">
        <v>15.5</v>
      </c>
      <c r="F50" s="70">
        <v>0.15</v>
      </c>
      <c r="G50" s="70">
        <v>3.6</v>
      </c>
      <c r="H50" s="69">
        <f>PRODUCT($CV$50,$CW$50,$CX$50,$CY$50)</f>
        <v>8.3699999999999992</v>
      </c>
      <c r="I50" s="65"/>
      <c r="J50" s="65"/>
      <c r="CW50" s="8">
        <f>(15.5)</f>
        <v>15.5</v>
      </c>
      <c r="CX50" s="8">
        <f>(0.15)</f>
        <v>0.15</v>
      </c>
      <c r="CY50" s="8">
        <f>(3.6)</f>
        <v>3.6</v>
      </c>
      <c r="DF50" s="8" t="s">
        <v>514</v>
      </c>
    </row>
    <row r="51" spans="1:110" outlineLevel="1" x14ac:dyDescent="0.25">
      <c r="C51" s="5" t="s">
        <v>266</v>
      </c>
      <c r="D51" s="70"/>
      <c r="E51" s="70">
        <v>21.294</v>
      </c>
      <c r="F51" s="70">
        <v>0.15</v>
      </c>
      <c r="G51" s="70">
        <v>3.6</v>
      </c>
      <c r="H51" s="69">
        <f>PRODUCT($CV$51,$CW$51,$CX$51,$CY$51)</f>
        <v>11.498760000000001</v>
      </c>
      <c r="I51" s="65"/>
      <c r="J51" s="65"/>
      <c r="CW51" s="8">
        <f>(21.294)</f>
        <v>21.294</v>
      </c>
      <c r="CX51" s="8">
        <f>(0.15)</f>
        <v>0.15</v>
      </c>
      <c r="CY51" s="8">
        <f>(3.6)</f>
        <v>3.6</v>
      </c>
      <c r="DF51" s="8" t="s">
        <v>514</v>
      </c>
    </row>
    <row r="52" spans="1:110" ht="31.5" outlineLevel="1" x14ac:dyDescent="0.25">
      <c r="A52" s="61"/>
      <c r="B52" s="62"/>
      <c r="C52" s="63" t="s">
        <v>267</v>
      </c>
      <c r="D52" s="71">
        <v>1</v>
      </c>
      <c r="E52" s="71">
        <v>0.9</v>
      </c>
      <c r="F52" s="71">
        <v>0.15</v>
      </c>
      <c r="G52" s="71">
        <v>1.5</v>
      </c>
      <c r="H52" s="72">
        <f>PRODUCT($CV$52,$CW$52,$CX$52,$CY$52) * -1</f>
        <v>-0.20250000000000001</v>
      </c>
      <c r="I52" s="65"/>
      <c r="J52" s="65"/>
      <c r="CV52" s="8">
        <f>(1)</f>
        <v>1</v>
      </c>
      <c r="CW52" s="8">
        <f>(0.9)</f>
        <v>0.9</v>
      </c>
      <c r="CX52" s="8">
        <f>(0.15)</f>
        <v>0.15</v>
      </c>
      <c r="CY52" s="8">
        <f>(1.5)</f>
        <v>1.5</v>
      </c>
      <c r="DF52" s="8" t="s">
        <v>514</v>
      </c>
    </row>
    <row r="53" spans="1:110" ht="31.5" outlineLevel="1" x14ac:dyDescent="0.25">
      <c r="A53" s="61"/>
      <c r="B53" s="62"/>
      <c r="C53" s="63" t="s">
        <v>268</v>
      </c>
      <c r="D53" s="71">
        <v>1</v>
      </c>
      <c r="E53" s="71">
        <v>0.9</v>
      </c>
      <c r="F53" s="71">
        <v>0.15</v>
      </c>
      <c r="G53" s="71">
        <v>1.5</v>
      </c>
      <c r="H53" s="72">
        <f>PRODUCT($CV$53,$CW$53,$CX$53,$CY$53) * -1</f>
        <v>-0.20250000000000001</v>
      </c>
      <c r="I53" s="65"/>
      <c r="J53" s="65"/>
      <c r="CV53" s="8">
        <f>(1)</f>
        <v>1</v>
      </c>
      <c r="CW53" s="8">
        <f>(0.9)</f>
        <v>0.9</v>
      </c>
      <c r="CX53" s="8">
        <f>(0.15)</f>
        <v>0.15</v>
      </c>
      <c r="CY53" s="8">
        <f>(1.5)</f>
        <v>1.5</v>
      </c>
      <c r="DF53" s="8" t="s">
        <v>514</v>
      </c>
    </row>
    <row r="54" spans="1:110" ht="31.5" outlineLevel="1" x14ac:dyDescent="0.25">
      <c r="A54" s="61"/>
      <c r="B54" s="62"/>
      <c r="C54" s="63" t="s">
        <v>269</v>
      </c>
      <c r="D54" s="71">
        <v>1</v>
      </c>
      <c r="E54" s="71">
        <v>0.9</v>
      </c>
      <c r="F54" s="71">
        <v>0.15</v>
      </c>
      <c r="G54" s="71">
        <v>1.5</v>
      </c>
      <c r="H54" s="72">
        <f>PRODUCT($CV$54,$CW$54,$CX$54,$CY$54) * -1</f>
        <v>-0.20250000000000001</v>
      </c>
      <c r="I54" s="65"/>
      <c r="J54" s="65"/>
      <c r="CV54" s="8">
        <f>(1)</f>
        <v>1</v>
      </c>
      <c r="CW54" s="8">
        <f>(0.9)</f>
        <v>0.9</v>
      </c>
      <c r="CX54" s="8">
        <f>(0.15)</f>
        <v>0.15</v>
      </c>
      <c r="CY54" s="8">
        <f>(1.5)</f>
        <v>1.5</v>
      </c>
      <c r="DF54" s="8" t="s">
        <v>514</v>
      </c>
    </row>
    <row r="55" spans="1:110" ht="31.5" outlineLevel="1" x14ac:dyDescent="0.25">
      <c r="A55" s="61"/>
      <c r="B55" s="62"/>
      <c r="C55" s="63" t="s">
        <v>270</v>
      </c>
      <c r="D55" s="71"/>
      <c r="E55" s="71">
        <v>1</v>
      </c>
      <c r="F55" s="71">
        <v>1.4999999999999999E-2</v>
      </c>
      <c r="G55" s="71">
        <v>2.1</v>
      </c>
      <c r="H55" s="72">
        <f>PRODUCT($CV$55,$CW$55,$CX$55,$CY$55) * -1</f>
        <v>-3.15E-2</v>
      </c>
      <c r="I55" s="65"/>
      <c r="J55" s="65"/>
      <c r="CW55" s="8">
        <f>(1)</f>
        <v>1</v>
      </c>
      <c r="CX55" s="8">
        <f>(0.015)</f>
        <v>1.4999999999999999E-2</v>
      </c>
      <c r="CY55" s="8">
        <f>(2.1)</f>
        <v>2.1</v>
      </c>
      <c r="DF55" s="8" t="s">
        <v>514</v>
      </c>
    </row>
    <row r="56" spans="1:110" ht="31.5" outlineLevel="1" x14ac:dyDescent="0.25">
      <c r="A56" s="61"/>
      <c r="B56" s="62"/>
      <c r="C56" s="63" t="s">
        <v>271</v>
      </c>
      <c r="D56" s="71"/>
      <c r="E56" s="71">
        <v>2</v>
      </c>
      <c r="F56" s="71">
        <v>0.15</v>
      </c>
      <c r="G56" s="71">
        <v>2.5099999999999998</v>
      </c>
      <c r="H56" s="72">
        <f>PRODUCT($CV$56,$CW$56,$CX$56,$CY$56) * -1</f>
        <v>-0.75299999999999989</v>
      </c>
      <c r="I56" s="65"/>
      <c r="J56" s="65"/>
      <c r="CW56" s="8">
        <f>(2)</f>
        <v>2</v>
      </c>
      <c r="CX56" s="8">
        <f>(0.15)</f>
        <v>0.15</v>
      </c>
      <c r="CY56" s="8">
        <f>(2.51)</f>
        <v>2.5099999999999998</v>
      </c>
      <c r="DF56" s="8" t="s">
        <v>514</v>
      </c>
    </row>
    <row r="57" spans="1:110" ht="31.5" outlineLevel="1" x14ac:dyDescent="0.25">
      <c r="A57" s="61"/>
      <c r="B57" s="62"/>
      <c r="C57" s="63" t="s">
        <v>272</v>
      </c>
      <c r="D57" s="71"/>
      <c r="E57" s="71">
        <v>1.5</v>
      </c>
      <c r="F57" s="71">
        <v>0.15</v>
      </c>
      <c r="G57" s="71">
        <v>2.5099999999999998</v>
      </c>
      <c r="H57" s="72">
        <f>PRODUCT($CV$57,$CW$57,$CX$57,$CY$57) * -1</f>
        <v>-0.56474999999999986</v>
      </c>
      <c r="I57" s="65"/>
      <c r="J57" s="65"/>
      <c r="CW57" s="8">
        <f>(1.5)</f>
        <v>1.5</v>
      </c>
      <c r="CX57" s="8">
        <f>(0.15)</f>
        <v>0.15</v>
      </c>
      <c r="CY57" s="8">
        <f>(2.51)</f>
        <v>2.5099999999999998</v>
      </c>
      <c r="DF57" s="8" t="s">
        <v>514</v>
      </c>
    </row>
    <row r="58" spans="1:110" x14ac:dyDescent="0.25">
      <c r="C58" s="60" t="str">
        <f>CONCATENATE("SOMMANO " &amp; 'Elenco Prezzi'!$C$7)</f>
        <v>SOMMANO m3</v>
      </c>
      <c r="D58" s="70"/>
      <c r="E58" s="70"/>
      <c r="F58" s="70"/>
      <c r="G58" s="70"/>
      <c r="H58" s="69">
        <f>SUM($H$31:$H$57)</f>
        <v>28.500707999999996</v>
      </c>
      <c r="I58" s="65">
        <f>('Elenco Prezzi'!$D$7)</f>
        <v>8</v>
      </c>
      <c r="J58" s="65">
        <f>PRODUCT($H$58,$I$58)</f>
        <v>228.00566399999997</v>
      </c>
      <c r="DF58" s="8" t="s">
        <v>514</v>
      </c>
    </row>
    <row r="59" spans="1:110" ht="31.5" x14ac:dyDescent="0.25">
      <c r="A59" s="3">
        <v>5</v>
      </c>
      <c r="B59" s="56" t="str">
        <f>('Elenco Prezzi'!$A$10)</f>
        <v>100.102</v>
      </c>
      <c r="C59" s="23" t="str">
        <f>('Elenco Prezzi'!$B$10)</f>
        <v>Mattone forato</v>
      </c>
      <c r="D59" s="70"/>
      <c r="E59" s="70"/>
      <c r="F59" s="70"/>
      <c r="G59" s="70"/>
      <c r="H59" s="69"/>
      <c r="I59" s="65"/>
      <c r="J59" s="65"/>
      <c r="K59" s="58" t="s">
        <v>239</v>
      </c>
      <c r="L59" s="58" t="s">
        <v>232</v>
      </c>
      <c r="M59" s="58" t="s">
        <v>232</v>
      </c>
      <c r="N59" s="58" t="s">
        <v>234</v>
      </c>
      <c r="DF59" s="8" t="s">
        <v>514</v>
      </c>
    </row>
    <row r="60" spans="1:110" hidden="1" outlineLevel="1" x14ac:dyDescent="0.25">
      <c r="C60" s="57" t="str">
        <f>('Elenco Prezzi'!$B$11)</f>
        <v>Mattone forato</v>
      </c>
      <c r="D60" s="70"/>
      <c r="E60" s="70"/>
      <c r="F60" s="70"/>
      <c r="G60" s="70"/>
      <c r="H60" s="69"/>
      <c r="I60" s="65"/>
      <c r="J60" s="65"/>
      <c r="DF60" s="8" t="s">
        <v>514</v>
      </c>
    </row>
    <row r="61" spans="1:110" hidden="1" outlineLevel="1" x14ac:dyDescent="0.25">
      <c r="C61" s="57" t="str">
        <f>('Elenco Prezzi'!$B$12)</f>
        <v>Mattone forato</v>
      </c>
      <c r="D61" s="70"/>
      <c r="E61" s="70"/>
      <c r="F61" s="70"/>
      <c r="G61" s="70"/>
      <c r="H61" s="69"/>
      <c r="I61" s="65"/>
      <c r="J61" s="65"/>
      <c r="DF61" s="8" t="s">
        <v>514</v>
      </c>
    </row>
    <row r="62" spans="1:110" outlineLevel="1" x14ac:dyDescent="0.25">
      <c r="C62" s="59" t="s">
        <v>235</v>
      </c>
      <c r="D62" s="70"/>
      <c r="E62" s="70"/>
      <c r="F62" s="70"/>
      <c r="G62" s="70"/>
      <c r="H62" s="69"/>
      <c r="I62" s="65"/>
      <c r="J62" s="65"/>
      <c r="DF62" s="8" t="s">
        <v>514</v>
      </c>
    </row>
    <row r="63" spans="1:110" outlineLevel="1" x14ac:dyDescent="0.25">
      <c r="C63" s="5" t="s">
        <v>241</v>
      </c>
      <c r="D63" s="70"/>
      <c r="E63" s="70">
        <v>20.405000000000001</v>
      </c>
      <c r="F63" s="70" t="s">
        <v>273</v>
      </c>
      <c r="G63" s="70">
        <v>3.6</v>
      </c>
      <c r="H63" s="69">
        <f>PRODUCT($CV$63,$CW$63,$CX$63,$CY$63)</f>
        <v>29.383200000000002</v>
      </c>
      <c r="I63" s="65"/>
      <c r="J63" s="65"/>
      <c r="CW63" s="8">
        <f>(20.405)</f>
        <v>20.405000000000001</v>
      </c>
      <c r="CX63" s="8">
        <f>(0.43-0.03)</f>
        <v>0.4</v>
      </c>
      <c r="CY63" s="8">
        <f>(3.6)</f>
        <v>3.6</v>
      </c>
      <c r="DF63" s="8" t="s">
        <v>514</v>
      </c>
    </row>
    <row r="64" spans="1:110" outlineLevel="1" x14ac:dyDescent="0.25">
      <c r="C64" s="5" t="s">
        <v>240</v>
      </c>
      <c r="D64" s="70"/>
      <c r="E64" s="70">
        <v>12</v>
      </c>
      <c r="F64" s="70" t="s">
        <v>273</v>
      </c>
      <c r="G64" s="70">
        <v>3.6</v>
      </c>
      <c r="H64" s="69">
        <f>PRODUCT($CV$64,$CW$64,$CX$64,$CY$64)</f>
        <v>17.280000000000005</v>
      </c>
      <c r="I64" s="65"/>
      <c r="J64" s="65"/>
      <c r="CW64" s="8">
        <f>(12)</f>
        <v>12</v>
      </c>
      <c r="CX64" s="8">
        <f>(0.43-0.03)</f>
        <v>0.4</v>
      </c>
      <c r="CY64" s="8">
        <f>(3.6)</f>
        <v>3.6</v>
      </c>
      <c r="DF64" s="8" t="s">
        <v>514</v>
      </c>
    </row>
    <row r="65" spans="1:110" outlineLevel="1" x14ac:dyDescent="0.25">
      <c r="C65" s="5" t="s">
        <v>242</v>
      </c>
      <c r="D65" s="70"/>
      <c r="E65" s="70">
        <v>12</v>
      </c>
      <c r="F65" s="70" t="s">
        <v>273</v>
      </c>
      <c r="G65" s="70">
        <v>3.6</v>
      </c>
      <c r="H65" s="69">
        <f>PRODUCT($CV$65,$CW$65,$CX$65,$CY$65)</f>
        <v>17.280000000000005</v>
      </c>
      <c r="I65" s="65"/>
      <c r="J65" s="65"/>
      <c r="CW65" s="8">
        <f>(12)</f>
        <v>12</v>
      </c>
      <c r="CX65" s="8">
        <f>(0.43-0.03)</f>
        <v>0.4</v>
      </c>
      <c r="CY65" s="8">
        <f>(3.6)</f>
        <v>3.6</v>
      </c>
      <c r="DF65" s="8" t="s">
        <v>514</v>
      </c>
    </row>
    <row r="66" spans="1:110" ht="31.5" outlineLevel="1" x14ac:dyDescent="0.25">
      <c r="A66" s="61"/>
      <c r="B66" s="62"/>
      <c r="C66" s="63" t="s">
        <v>245</v>
      </c>
      <c r="D66" s="71">
        <v>1</v>
      </c>
      <c r="E66" s="71">
        <v>0.9</v>
      </c>
      <c r="F66" s="71" t="s">
        <v>273</v>
      </c>
      <c r="G66" s="71">
        <v>1.5</v>
      </c>
      <c r="H66" s="72">
        <f>PRODUCT($CV$66,$CW$66,$CX$66,$CY$66) * -1</f>
        <v>-0.54</v>
      </c>
      <c r="I66" s="65"/>
      <c r="J66" s="65"/>
      <c r="CV66" s="8">
        <f>(1)</f>
        <v>1</v>
      </c>
      <c r="CW66" s="8">
        <f>(0.9)</f>
        <v>0.9</v>
      </c>
      <c r="CX66" s="8">
        <f>(0.43-0.03)</f>
        <v>0.4</v>
      </c>
      <c r="CY66" s="8">
        <f>(1.5)</f>
        <v>1.5</v>
      </c>
      <c r="DF66" s="8" t="s">
        <v>514</v>
      </c>
    </row>
    <row r="67" spans="1:110" ht="31.5" outlineLevel="1" x14ac:dyDescent="0.25">
      <c r="A67" s="61"/>
      <c r="B67" s="62"/>
      <c r="C67" s="63" t="s">
        <v>244</v>
      </c>
      <c r="D67" s="71">
        <v>1</v>
      </c>
      <c r="E67" s="71">
        <v>0.9</v>
      </c>
      <c r="F67" s="71" t="s">
        <v>273</v>
      </c>
      <c r="G67" s="71">
        <v>1.5</v>
      </c>
      <c r="H67" s="72">
        <f>PRODUCT($CV$67,$CW$67,$CX$67,$CY$67) * -1</f>
        <v>-0.54</v>
      </c>
      <c r="I67" s="65"/>
      <c r="J67" s="65"/>
      <c r="CV67" s="8">
        <f>(1)</f>
        <v>1</v>
      </c>
      <c r="CW67" s="8">
        <f>(0.9)</f>
        <v>0.9</v>
      </c>
      <c r="CX67" s="8">
        <f>(0.43-0.03)</f>
        <v>0.4</v>
      </c>
      <c r="CY67" s="8">
        <f>(1.5)</f>
        <v>1.5</v>
      </c>
      <c r="DF67" s="8" t="s">
        <v>514</v>
      </c>
    </row>
    <row r="68" spans="1:110" ht="31.5" outlineLevel="1" x14ac:dyDescent="0.25">
      <c r="A68" s="61"/>
      <c r="B68" s="62"/>
      <c r="C68" s="63" t="s">
        <v>243</v>
      </c>
      <c r="D68" s="71">
        <v>1</v>
      </c>
      <c r="E68" s="71">
        <v>0.9</v>
      </c>
      <c r="F68" s="71" t="s">
        <v>273</v>
      </c>
      <c r="G68" s="71">
        <v>1.5</v>
      </c>
      <c r="H68" s="72">
        <f>PRODUCT($CV$68,$CW$68,$CX$68,$CY$68) * -1</f>
        <v>-0.54</v>
      </c>
      <c r="I68" s="65"/>
      <c r="J68" s="65"/>
      <c r="CV68" s="8">
        <f>(1)</f>
        <v>1</v>
      </c>
      <c r="CW68" s="8">
        <f>(0.9)</f>
        <v>0.9</v>
      </c>
      <c r="CX68" s="8">
        <f>(0.43-0.03)</f>
        <v>0.4</v>
      </c>
      <c r="CY68" s="8">
        <f>(1.5)</f>
        <v>1.5</v>
      </c>
      <c r="DF68" s="8" t="s">
        <v>514</v>
      </c>
    </row>
    <row r="69" spans="1:110" x14ac:dyDescent="0.25">
      <c r="C69" s="60" t="str">
        <f>CONCATENATE("SOMMANO " &amp; 'Elenco Prezzi'!$C$10)</f>
        <v>SOMMANO m3</v>
      </c>
      <c r="D69" s="70"/>
      <c r="E69" s="70"/>
      <c r="F69" s="70"/>
      <c r="G69" s="70"/>
      <c r="H69" s="69">
        <f>SUM($H$63:$H$68)</f>
        <v>62.323200000000007</v>
      </c>
      <c r="I69" s="65">
        <f>('Elenco Prezzi'!$D$10)</f>
        <v>12</v>
      </c>
      <c r="J69" s="65">
        <f>PRODUCT($H$69,$I$69)</f>
        <v>747.87840000000006</v>
      </c>
      <c r="DF69" s="8" t="s">
        <v>514</v>
      </c>
    </row>
    <row r="70" spans="1:110" ht="31.5" x14ac:dyDescent="0.25">
      <c r="A70" s="3">
        <v>6</v>
      </c>
      <c r="B70" s="56" t="str">
        <f>('Elenco Prezzi'!$A$10)</f>
        <v>100.102</v>
      </c>
      <c r="C70" s="23" t="str">
        <f>('Elenco Prezzi'!$B$10)</f>
        <v>Mattone forato</v>
      </c>
      <c r="D70" s="70"/>
      <c r="E70" s="70"/>
      <c r="F70" s="70"/>
      <c r="G70" s="70"/>
      <c r="H70" s="69"/>
      <c r="I70" s="65"/>
      <c r="J70" s="65"/>
      <c r="K70" s="58" t="s">
        <v>231</v>
      </c>
      <c r="L70" s="58" t="s">
        <v>232</v>
      </c>
      <c r="M70" s="58" t="s">
        <v>232</v>
      </c>
      <c r="N70" s="58" t="s">
        <v>234</v>
      </c>
      <c r="DF70" s="8" t="s">
        <v>514</v>
      </c>
    </row>
    <row r="71" spans="1:110" hidden="1" outlineLevel="1" x14ac:dyDescent="0.25">
      <c r="C71" s="57" t="str">
        <f>('Elenco Prezzi'!$B$11)</f>
        <v>Mattone forato</v>
      </c>
      <c r="D71" s="70"/>
      <c r="E71" s="70"/>
      <c r="F71" s="70"/>
      <c r="G71" s="70"/>
      <c r="H71" s="69"/>
      <c r="I71" s="65"/>
      <c r="J71" s="65"/>
      <c r="DF71" s="8" t="s">
        <v>514</v>
      </c>
    </row>
    <row r="72" spans="1:110" hidden="1" outlineLevel="1" x14ac:dyDescent="0.25">
      <c r="C72" s="57" t="str">
        <f>('Elenco Prezzi'!$B$12)</f>
        <v>Mattone forato</v>
      </c>
      <c r="D72" s="70"/>
      <c r="E72" s="70"/>
      <c r="F72" s="70"/>
      <c r="G72" s="70"/>
      <c r="H72" s="69"/>
      <c r="I72" s="65"/>
      <c r="J72" s="65"/>
      <c r="DF72" s="8" t="s">
        <v>514</v>
      </c>
    </row>
    <row r="73" spans="1:110" outlineLevel="1" x14ac:dyDescent="0.25">
      <c r="C73" s="59" t="s">
        <v>235</v>
      </c>
      <c r="D73" s="70"/>
      <c r="E73" s="70"/>
      <c r="F73" s="70"/>
      <c r="G73" s="70"/>
      <c r="H73" s="69"/>
      <c r="I73" s="65"/>
      <c r="J73" s="65"/>
      <c r="DF73" s="8" t="s">
        <v>514</v>
      </c>
    </row>
    <row r="74" spans="1:110" outlineLevel="1" x14ac:dyDescent="0.25">
      <c r="C74" s="5" t="s">
        <v>250</v>
      </c>
      <c r="D74" s="70"/>
      <c r="E74" s="70">
        <v>1.65</v>
      </c>
      <c r="F74" s="70" t="s">
        <v>274</v>
      </c>
      <c r="G74" s="70">
        <v>3.6</v>
      </c>
      <c r="H74" s="69">
        <f>PRODUCT($CV$74,$CW$74,$CX$74,$CY$74)</f>
        <v>0.71279999999999999</v>
      </c>
      <c r="I74" s="65"/>
      <c r="J74" s="65"/>
      <c r="CW74" s="8">
        <f>(1.65)</f>
        <v>1.65</v>
      </c>
      <c r="CX74" s="8">
        <f>(0.15-0.03)</f>
        <v>0.12</v>
      </c>
      <c r="CY74" s="8">
        <f>(3.6)</f>
        <v>3.6</v>
      </c>
      <c r="DF74" s="8" t="s">
        <v>514</v>
      </c>
    </row>
    <row r="75" spans="1:110" outlineLevel="1" x14ac:dyDescent="0.25">
      <c r="C75" s="5" t="s">
        <v>249</v>
      </c>
      <c r="D75" s="70"/>
      <c r="E75" s="70">
        <v>3.85</v>
      </c>
      <c r="F75" s="70" t="s">
        <v>274</v>
      </c>
      <c r="G75" s="70">
        <v>3.6</v>
      </c>
      <c r="H75" s="69">
        <f>PRODUCT($CV$75,$CW$75,$CX$75,$CY$75)</f>
        <v>1.6632</v>
      </c>
      <c r="I75" s="65"/>
      <c r="J75" s="65"/>
      <c r="CW75" s="8">
        <f>(3.85)</f>
        <v>3.85</v>
      </c>
      <c r="CX75" s="8">
        <f>(0.15-0.03)</f>
        <v>0.12</v>
      </c>
      <c r="CY75" s="8">
        <f>(3.6)</f>
        <v>3.6</v>
      </c>
      <c r="DF75" s="8" t="s">
        <v>514</v>
      </c>
    </row>
    <row r="76" spans="1:110" outlineLevel="1" x14ac:dyDescent="0.25">
      <c r="C76" s="5" t="s">
        <v>253</v>
      </c>
      <c r="D76" s="70"/>
      <c r="E76" s="70">
        <v>3.85</v>
      </c>
      <c r="F76" s="70" t="s">
        <v>274</v>
      </c>
      <c r="G76" s="70">
        <v>3.6</v>
      </c>
      <c r="H76" s="69">
        <f>PRODUCT($CV$76,$CW$76,$CX$76,$CY$76)</f>
        <v>1.6632</v>
      </c>
      <c r="I76" s="65"/>
      <c r="J76" s="65"/>
      <c r="CW76" s="8">
        <f>(3.85)</f>
        <v>3.85</v>
      </c>
      <c r="CX76" s="8">
        <f>(0.15-0.03)</f>
        <v>0.12</v>
      </c>
      <c r="CY76" s="8">
        <f>(3.6)</f>
        <v>3.6</v>
      </c>
      <c r="DF76" s="8" t="s">
        <v>514</v>
      </c>
    </row>
    <row r="77" spans="1:110" outlineLevel="1" x14ac:dyDescent="0.25">
      <c r="C77" s="5" t="s">
        <v>252</v>
      </c>
      <c r="D77" s="70"/>
      <c r="E77" s="70">
        <v>3.71</v>
      </c>
      <c r="F77" s="70" t="s">
        <v>274</v>
      </c>
      <c r="G77" s="70">
        <v>3.6</v>
      </c>
      <c r="H77" s="69">
        <f>PRODUCT($CV$77,$CW$77,$CX$77,$CY$77)</f>
        <v>1.6027199999999999</v>
      </c>
      <c r="I77" s="65"/>
      <c r="J77" s="65"/>
      <c r="CW77" s="8">
        <f>(3.71)</f>
        <v>3.71</v>
      </c>
      <c r="CX77" s="8">
        <f>(0.15-0.03)</f>
        <v>0.12</v>
      </c>
      <c r="CY77" s="8">
        <f>(3.6)</f>
        <v>3.6</v>
      </c>
      <c r="DF77" s="8" t="s">
        <v>514</v>
      </c>
    </row>
    <row r="78" spans="1:110" outlineLevel="1" x14ac:dyDescent="0.25">
      <c r="C78" s="5" t="s">
        <v>246</v>
      </c>
      <c r="D78" s="70"/>
      <c r="E78" s="70">
        <v>3</v>
      </c>
      <c r="F78" s="70" t="s">
        <v>274</v>
      </c>
      <c r="G78" s="70">
        <v>3.6</v>
      </c>
      <c r="H78" s="69">
        <f>PRODUCT($CV$78,$CW$78,$CX$78,$CY$78)</f>
        <v>1.296</v>
      </c>
      <c r="I78" s="65"/>
      <c r="J78" s="65"/>
      <c r="CW78" s="8">
        <f>(3)</f>
        <v>3</v>
      </c>
      <c r="CX78" s="8">
        <f>(0.15-0.03)</f>
        <v>0.12</v>
      </c>
      <c r="CY78" s="8">
        <f>(3.6)</f>
        <v>3.6</v>
      </c>
      <c r="DF78" s="8" t="s">
        <v>514</v>
      </c>
    </row>
    <row r="79" spans="1:110" outlineLevel="1" x14ac:dyDescent="0.25">
      <c r="C79" s="5" t="s">
        <v>254</v>
      </c>
      <c r="D79" s="70"/>
      <c r="E79" s="70">
        <v>3.85</v>
      </c>
      <c r="F79" s="70" t="s">
        <v>274</v>
      </c>
      <c r="G79" s="70">
        <v>3.6</v>
      </c>
      <c r="H79" s="69">
        <f>PRODUCT($CV$79,$CW$79,$CX$79,$CY$79)</f>
        <v>1.6632</v>
      </c>
      <c r="I79" s="65"/>
      <c r="J79" s="65"/>
      <c r="CW79" s="8">
        <f>(3.85)</f>
        <v>3.85</v>
      </c>
      <c r="CX79" s="8">
        <f>(0.15-0.03)</f>
        <v>0.12</v>
      </c>
      <c r="CY79" s="8">
        <f>(3.6)</f>
        <v>3.6</v>
      </c>
      <c r="DF79" s="8" t="s">
        <v>514</v>
      </c>
    </row>
    <row r="80" spans="1:110" outlineLevel="1" x14ac:dyDescent="0.25">
      <c r="C80" s="5" t="s">
        <v>247</v>
      </c>
      <c r="D80" s="70"/>
      <c r="E80" s="70">
        <v>15.333</v>
      </c>
      <c r="F80" s="70" t="s">
        <v>274</v>
      </c>
      <c r="G80" s="70">
        <v>3.6</v>
      </c>
      <c r="H80" s="69">
        <f>PRODUCT($CV$80,$CW$80,$CX$80,$CY$80)</f>
        <v>6.623856</v>
      </c>
      <c r="I80" s="65"/>
      <c r="J80" s="65"/>
      <c r="CW80" s="8">
        <f>(15.333)</f>
        <v>15.333</v>
      </c>
      <c r="CX80" s="8">
        <f>(0.15-0.03)</f>
        <v>0.12</v>
      </c>
      <c r="CY80" s="8">
        <f>(3.6)</f>
        <v>3.6</v>
      </c>
      <c r="DF80" s="8" t="s">
        <v>514</v>
      </c>
    </row>
    <row r="81" spans="1:110" outlineLevel="1" x14ac:dyDescent="0.25">
      <c r="C81" s="5" t="s">
        <v>251</v>
      </c>
      <c r="D81" s="70"/>
      <c r="E81" s="70">
        <v>3.85</v>
      </c>
      <c r="F81" s="70" t="s">
        <v>274</v>
      </c>
      <c r="G81" s="70">
        <v>3.6</v>
      </c>
      <c r="H81" s="69">
        <f>PRODUCT($CV$81,$CW$81,$CX$81,$CY$81)</f>
        <v>1.6632</v>
      </c>
      <c r="I81" s="65"/>
      <c r="J81" s="65"/>
      <c r="CW81" s="8">
        <f>(3.85)</f>
        <v>3.85</v>
      </c>
      <c r="CX81" s="8">
        <f>(0.15-0.03)</f>
        <v>0.12</v>
      </c>
      <c r="CY81" s="8">
        <f>(3.6)</f>
        <v>3.6</v>
      </c>
      <c r="DF81" s="8" t="s">
        <v>514</v>
      </c>
    </row>
    <row r="82" spans="1:110" outlineLevel="1" x14ac:dyDescent="0.25">
      <c r="C82" s="5" t="s">
        <v>248</v>
      </c>
      <c r="D82" s="70"/>
      <c r="E82" s="70">
        <v>5.907</v>
      </c>
      <c r="F82" s="70" t="s">
        <v>274</v>
      </c>
      <c r="G82" s="70">
        <v>3.6</v>
      </c>
      <c r="H82" s="69">
        <f>PRODUCT($CV$82,$CW$82,$CX$82,$CY$82)</f>
        <v>2.5518240000000003</v>
      </c>
      <c r="I82" s="65"/>
      <c r="J82" s="65"/>
      <c r="CW82" s="8">
        <f>(5.907)</f>
        <v>5.907</v>
      </c>
      <c r="CX82" s="8">
        <f>(0.15-0.03)</f>
        <v>0.12</v>
      </c>
      <c r="CY82" s="8">
        <f>(3.6)</f>
        <v>3.6</v>
      </c>
      <c r="DF82" s="8" t="s">
        <v>514</v>
      </c>
    </row>
    <row r="83" spans="1:110" outlineLevel="1" x14ac:dyDescent="0.25">
      <c r="C83" s="5" t="s">
        <v>264</v>
      </c>
      <c r="D83" s="70"/>
      <c r="E83" s="70">
        <v>11.525</v>
      </c>
      <c r="F83" s="70" t="s">
        <v>273</v>
      </c>
      <c r="G83" s="70">
        <v>3.6</v>
      </c>
      <c r="H83" s="69">
        <f>PRODUCT($CV$83,$CW$83,$CX$83,$CY$83)</f>
        <v>16.596</v>
      </c>
      <c r="I83" s="65"/>
      <c r="J83" s="65"/>
      <c r="CW83" s="8">
        <f>(11.525)</f>
        <v>11.525</v>
      </c>
      <c r="CX83" s="8">
        <f>(0.43-0.03)</f>
        <v>0.4</v>
      </c>
      <c r="CY83" s="8">
        <f>(3.6)</f>
        <v>3.6</v>
      </c>
      <c r="DF83" s="8" t="s">
        <v>514</v>
      </c>
    </row>
    <row r="84" spans="1:110" outlineLevel="1" x14ac:dyDescent="0.25">
      <c r="C84" s="5" t="s">
        <v>266</v>
      </c>
      <c r="D84" s="70"/>
      <c r="E84" s="70">
        <v>21.294</v>
      </c>
      <c r="F84" s="70" t="s">
        <v>273</v>
      </c>
      <c r="G84" s="70">
        <v>3.6</v>
      </c>
      <c r="H84" s="69">
        <f>PRODUCT($CV$84,$CW$84,$CX$84,$CY$84)</f>
        <v>30.663360000000001</v>
      </c>
      <c r="I84" s="65"/>
      <c r="J84" s="65"/>
      <c r="CW84" s="8">
        <f>(21.294)</f>
        <v>21.294</v>
      </c>
      <c r="CX84" s="8">
        <f>(0.43-0.03)</f>
        <v>0.4</v>
      </c>
      <c r="CY84" s="8">
        <f>(3.6)</f>
        <v>3.6</v>
      </c>
      <c r="DF84" s="8" t="s">
        <v>514</v>
      </c>
    </row>
    <row r="85" spans="1:110" outlineLevel="1" x14ac:dyDescent="0.25">
      <c r="C85" s="5" t="s">
        <v>265</v>
      </c>
      <c r="D85" s="70"/>
      <c r="E85" s="70">
        <v>15.5</v>
      </c>
      <c r="F85" s="70" t="s">
        <v>273</v>
      </c>
      <c r="G85" s="70">
        <v>3.6</v>
      </c>
      <c r="H85" s="69">
        <f>PRODUCT($CV$85,$CW$85,$CX$85,$CY$85)</f>
        <v>22.32</v>
      </c>
      <c r="I85" s="65"/>
      <c r="J85" s="65"/>
      <c r="CW85" s="8">
        <f>(15.5)</f>
        <v>15.5</v>
      </c>
      <c r="CX85" s="8">
        <f>(0.43-0.03)</f>
        <v>0.4</v>
      </c>
      <c r="CY85" s="8">
        <f>(3.6)</f>
        <v>3.6</v>
      </c>
      <c r="DF85" s="8" t="s">
        <v>514</v>
      </c>
    </row>
    <row r="86" spans="1:110" ht="31.5" outlineLevel="1" x14ac:dyDescent="0.25">
      <c r="A86" s="61"/>
      <c r="B86" s="62"/>
      <c r="C86" s="63" t="s">
        <v>269</v>
      </c>
      <c r="D86" s="71">
        <v>1</v>
      </c>
      <c r="E86" s="71">
        <v>0.9</v>
      </c>
      <c r="F86" s="71" t="s">
        <v>273</v>
      </c>
      <c r="G86" s="71">
        <v>1.5</v>
      </c>
      <c r="H86" s="72">
        <f>PRODUCT($CV$86,$CW$86,$CX$86,$CY$86) * -1</f>
        <v>-0.54</v>
      </c>
      <c r="I86" s="65"/>
      <c r="J86" s="65"/>
      <c r="CV86" s="8">
        <f>(1)</f>
        <v>1</v>
      </c>
      <c r="CW86" s="8">
        <f>(0.9)</f>
        <v>0.9</v>
      </c>
      <c r="CX86" s="8">
        <f>(0.43-0.03)</f>
        <v>0.4</v>
      </c>
      <c r="CY86" s="8">
        <f>(1.5)</f>
        <v>1.5</v>
      </c>
      <c r="DF86" s="8" t="s">
        <v>514</v>
      </c>
    </row>
    <row r="87" spans="1:110" ht="31.5" outlineLevel="1" x14ac:dyDescent="0.25">
      <c r="A87" s="61"/>
      <c r="B87" s="62"/>
      <c r="C87" s="63" t="s">
        <v>267</v>
      </c>
      <c r="D87" s="71">
        <v>1</v>
      </c>
      <c r="E87" s="71">
        <v>0.9</v>
      </c>
      <c r="F87" s="71" t="s">
        <v>273</v>
      </c>
      <c r="G87" s="71">
        <v>1.5</v>
      </c>
      <c r="H87" s="72">
        <f>PRODUCT($CV$87,$CW$87,$CX$87,$CY$87) * -1</f>
        <v>-0.54</v>
      </c>
      <c r="I87" s="65"/>
      <c r="J87" s="65"/>
      <c r="CV87" s="8">
        <f>(1)</f>
        <v>1</v>
      </c>
      <c r="CW87" s="8">
        <f>(0.9)</f>
        <v>0.9</v>
      </c>
      <c r="CX87" s="8">
        <f>(0.43-0.03)</f>
        <v>0.4</v>
      </c>
      <c r="CY87" s="8">
        <f>(1.5)</f>
        <v>1.5</v>
      </c>
      <c r="DF87" s="8" t="s">
        <v>514</v>
      </c>
    </row>
    <row r="88" spans="1:110" ht="31.5" outlineLevel="1" x14ac:dyDescent="0.25">
      <c r="A88" s="61"/>
      <c r="B88" s="62"/>
      <c r="C88" s="63" t="s">
        <v>268</v>
      </c>
      <c r="D88" s="71">
        <v>1</v>
      </c>
      <c r="E88" s="71">
        <v>0.9</v>
      </c>
      <c r="F88" s="71" t="s">
        <v>273</v>
      </c>
      <c r="G88" s="71">
        <v>1.5</v>
      </c>
      <c r="H88" s="72">
        <f>PRODUCT($CV$88,$CW$88,$CX$88,$CY$88) * -1</f>
        <v>-0.54</v>
      </c>
      <c r="I88" s="65"/>
      <c r="J88" s="65"/>
      <c r="CV88" s="8">
        <f>(1)</f>
        <v>1</v>
      </c>
      <c r="CW88" s="8">
        <f>(0.9)</f>
        <v>0.9</v>
      </c>
      <c r="CX88" s="8">
        <f>(0.43-0.03)</f>
        <v>0.4</v>
      </c>
      <c r="CY88" s="8">
        <f>(1.5)</f>
        <v>1.5</v>
      </c>
      <c r="DF88" s="8" t="s">
        <v>514</v>
      </c>
    </row>
    <row r="89" spans="1:110" ht="31.5" outlineLevel="1" x14ac:dyDescent="0.25">
      <c r="A89" s="61"/>
      <c r="B89" s="62"/>
      <c r="C89" s="63" t="s">
        <v>270</v>
      </c>
      <c r="D89" s="71"/>
      <c r="E89" s="71">
        <v>1</v>
      </c>
      <c r="F89" s="71" t="s">
        <v>274</v>
      </c>
      <c r="G89" s="71">
        <v>2.1</v>
      </c>
      <c r="H89" s="72">
        <f>PRODUCT($CV$89,$CW$89,$CX$89,$CY$89) * -1</f>
        <v>-0.252</v>
      </c>
      <c r="I89" s="65"/>
      <c r="J89" s="65"/>
      <c r="CW89" s="8">
        <f>(1)</f>
        <v>1</v>
      </c>
      <c r="CX89" s="8">
        <f>(0.15-0.03)</f>
        <v>0.12</v>
      </c>
      <c r="CY89" s="8">
        <f>(2.1)</f>
        <v>2.1</v>
      </c>
      <c r="DF89" s="8" t="s">
        <v>514</v>
      </c>
    </row>
    <row r="90" spans="1:110" ht="31.5" outlineLevel="1" x14ac:dyDescent="0.25">
      <c r="A90" s="61"/>
      <c r="B90" s="62"/>
      <c r="C90" s="63" t="s">
        <v>271</v>
      </c>
      <c r="D90" s="71"/>
      <c r="E90" s="71">
        <v>2</v>
      </c>
      <c r="F90" s="71" t="s">
        <v>273</v>
      </c>
      <c r="G90" s="71">
        <v>2.5099999999999998</v>
      </c>
      <c r="H90" s="72">
        <f>PRODUCT($CV$90,$CW$90,$CX$90,$CY$90) * -1</f>
        <v>-2.008</v>
      </c>
      <c r="I90" s="65"/>
      <c r="J90" s="65"/>
      <c r="CW90" s="8">
        <f>(2)</f>
        <v>2</v>
      </c>
      <c r="CX90" s="8">
        <f>(0.43-0.03)</f>
        <v>0.4</v>
      </c>
      <c r="CY90" s="8">
        <f>(2.51)</f>
        <v>2.5099999999999998</v>
      </c>
      <c r="DF90" s="8" t="s">
        <v>514</v>
      </c>
    </row>
    <row r="91" spans="1:110" ht="31.5" outlineLevel="1" x14ac:dyDescent="0.25">
      <c r="A91" s="61"/>
      <c r="B91" s="62"/>
      <c r="C91" s="63" t="s">
        <v>272</v>
      </c>
      <c r="D91" s="71"/>
      <c r="E91" s="71">
        <v>1.5</v>
      </c>
      <c r="F91" s="71" t="s">
        <v>273</v>
      </c>
      <c r="G91" s="71">
        <v>2.5099999999999998</v>
      </c>
      <c r="H91" s="72">
        <f>PRODUCT($CV$91,$CW$91,$CX$91,$CY$91) * -1</f>
        <v>-1.506</v>
      </c>
      <c r="I91" s="65"/>
      <c r="J91" s="65"/>
      <c r="CW91" s="8">
        <f>(1.5)</f>
        <v>1.5</v>
      </c>
      <c r="CX91" s="8">
        <f>(0.43-0.03)</f>
        <v>0.4</v>
      </c>
      <c r="CY91" s="8">
        <f>(2.51)</f>
        <v>2.5099999999999998</v>
      </c>
      <c r="DF91" s="8" t="s">
        <v>514</v>
      </c>
    </row>
    <row r="92" spans="1:110" x14ac:dyDescent="0.25">
      <c r="C92" s="60" t="str">
        <f>CONCATENATE("SOMMANO " &amp; 'Elenco Prezzi'!$C$10)</f>
        <v>SOMMANO m3</v>
      </c>
      <c r="D92" s="70"/>
      <c r="E92" s="70"/>
      <c r="F92" s="70"/>
      <c r="G92" s="70"/>
      <c r="H92" s="69">
        <f>SUM($H$74:$H$91)</f>
        <v>83.633359999999996</v>
      </c>
      <c r="I92" s="65">
        <f>('Elenco Prezzi'!$D$10)</f>
        <v>12</v>
      </c>
      <c r="J92" s="65">
        <f>PRODUCT($H$92,$I$92)</f>
        <v>1003.60032</v>
      </c>
      <c r="DF92" s="8" t="s">
        <v>514</v>
      </c>
    </row>
    <row r="93" spans="1:110" ht="31.5" x14ac:dyDescent="0.25">
      <c r="A93" s="3">
        <v>7</v>
      </c>
      <c r="B93" s="56" t="str">
        <f>('Elenco Prezzi'!$A$13)</f>
        <v>100.103</v>
      </c>
      <c r="C93" s="23" t="str">
        <f>('Elenco Prezzi'!$B$13)</f>
        <v>Mattone comune rosso</v>
      </c>
      <c r="D93" s="70"/>
      <c r="E93" s="70"/>
      <c r="F93" s="70"/>
      <c r="G93" s="70"/>
      <c r="H93" s="69"/>
      <c r="I93" s="65"/>
      <c r="J93" s="65"/>
      <c r="K93" s="58" t="s">
        <v>239</v>
      </c>
      <c r="L93" s="58" t="s">
        <v>232</v>
      </c>
      <c r="M93" s="58" t="s">
        <v>232</v>
      </c>
      <c r="N93" s="58" t="s">
        <v>234</v>
      </c>
      <c r="DF93" s="8" t="s">
        <v>514</v>
      </c>
    </row>
    <row r="94" spans="1:110" hidden="1" outlineLevel="1" x14ac:dyDescent="0.25">
      <c r="C94" s="57" t="str">
        <f>('Elenco Prezzi'!$B$14)</f>
        <v>Mattone comune rosso</v>
      </c>
      <c r="D94" s="70"/>
      <c r="E94" s="70"/>
      <c r="F94" s="70"/>
      <c r="G94" s="70"/>
      <c r="H94" s="69"/>
      <c r="I94" s="65"/>
      <c r="J94" s="65"/>
      <c r="DF94" s="8" t="s">
        <v>514</v>
      </c>
    </row>
    <row r="95" spans="1:110" hidden="1" outlineLevel="1" x14ac:dyDescent="0.25">
      <c r="C95" s="57" t="str">
        <f>('Elenco Prezzi'!$B$15)</f>
        <v>Mattone comune rosso</v>
      </c>
      <c r="D95" s="70"/>
      <c r="E95" s="70"/>
      <c r="F95" s="70"/>
      <c r="G95" s="70"/>
      <c r="H95" s="69"/>
      <c r="I95" s="65"/>
      <c r="J95" s="65"/>
      <c r="DF95" s="8" t="s">
        <v>514</v>
      </c>
    </row>
    <row r="96" spans="1:110" outlineLevel="1" x14ac:dyDescent="0.25">
      <c r="C96" s="59" t="s">
        <v>235</v>
      </c>
      <c r="D96" s="70"/>
      <c r="E96" s="70"/>
      <c r="F96" s="70"/>
      <c r="G96" s="70"/>
      <c r="H96" s="69"/>
      <c r="I96" s="65"/>
      <c r="J96" s="65"/>
      <c r="DF96" s="8" t="s">
        <v>514</v>
      </c>
    </row>
    <row r="97" spans="1:110" outlineLevel="1" x14ac:dyDescent="0.25">
      <c r="C97" s="5" t="s">
        <v>242</v>
      </c>
      <c r="D97" s="70"/>
      <c r="E97" s="70">
        <v>12</v>
      </c>
      <c r="F97" s="70" t="s">
        <v>273</v>
      </c>
      <c r="G97" s="70">
        <v>3.6</v>
      </c>
      <c r="H97" s="69">
        <f>PRODUCT($CV$97,$CW$97,$CX$97,$CY$97)</f>
        <v>17.280000000000005</v>
      </c>
      <c r="I97" s="65"/>
      <c r="J97" s="65"/>
      <c r="CW97" s="8">
        <f>(12)</f>
        <v>12</v>
      </c>
      <c r="CX97" s="8">
        <f>(0.43-0.03)</f>
        <v>0.4</v>
      </c>
      <c r="CY97" s="8">
        <f>(3.6)</f>
        <v>3.6</v>
      </c>
      <c r="DF97" s="8" t="s">
        <v>514</v>
      </c>
    </row>
    <row r="98" spans="1:110" outlineLevel="1" x14ac:dyDescent="0.25">
      <c r="C98" s="5" t="s">
        <v>241</v>
      </c>
      <c r="D98" s="70"/>
      <c r="E98" s="70">
        <v>20.405000000000001</v>
      </c>
      <c r="F98" s="70" t="s">
        <v>273</v>
      </c>
      <c r="G98" s="70">
        <v>3.6</v>
      </c>
      <c r="H98" s="69">
        <f>PRODUCT($CV$98,$CW$98,$CX$98,$CY$98)</f>
        <v>29.383200000000002</v>
      </c>
      <c r="I98" s="65"/>
      <c r="J98" s="65"/>
      <c r="CW98" s="8">
        <f>(20.405)</f>
        <v>20.405000000000001</v>
      </c>
      <c r="CX98" s="8">
        <f>(0.43-0.03)</f>
        <v>0.4</v>
      </c>
      <c r="CY98" s="8">
        <f>(3.6)</f>
        <v>3.6</v>
      </c>
      <c r="DF98" s="8" t="s">
        <v>514</v>
      </c>
    </row>
    <row r="99" spans="1:110" outlineLevel="1" x14ac:dyDescent="0.25">
      <c r="C99" s="5" t="s">
        <v>240</v>
      </c>
      <c r="D99" s="70"/>
      <c r="E99" s="70">
        <v>12</v>
      </c>
      <c r="F99" s="70" t="s">
        <v>273</v>
      </c>
      <c r="G99" s="70">
        <v>3.6</v>
      </c>
      <c r="H99" s="69">
        <f>PRODUCT($CV$99,$CW$99,$CX$99,$CY$99)</f>
        <v>17.280000000000005</v>
      </c>
      <c r="I99" s="65"/>
      <c r="J99" s="65"/>
      <c r="CW99" s="8">
        <f>(12)</f>
        <v>12</v>
      </c>
      <c r="CX99" s="8">
        <f>(0.43-0.03)</f>
        <v>0.4</v>
      </c>
      <c r="CY99" s="8">
        <f>(3.6)</f>
        <v>3.6</v>
      </c>
      <c r="DF99" s="8" t="s">
        <v>514</v>
      </c>
    </row>
    <row r="100" spans="1:110" ht="31.5" outlineLevel="1" x14ac:dyDescent="0.25">
      <c r="A100" s="61"/>
      <c r="B100" s="62"/>
      <c r="C100" s="63" t="s">
        <v>244</v>
      </c>
      <c r="D100" s="71">
        <v>1</v>
      </c>
      <c r="E100" s="71">
        <v>0.9</v>
      </c>
      <c r="F100" s="71" t="s">
        <v>273</v>
      </c>
      <c r="G100" s="71">
        <v>1.5</v>
      </c>
      <c r="H100" s="72">
        <f>PRODUCT($CV$100,$CW$100,$CX$100,$CY$100) * -1</f>
        <v>-0.54</v>
      </c>
      <c r="I100" s="65"/>
      <c r="J100" s="65"/>
      <c r="CV100" s="8">
        <f>(1)</f>
        <v>1</v>
      </c>
      <c r="CW100" s="8">
        <f>(0.9)</f>
        <v>0.9</v>
      </c>
      <c r="CX100" s="8">
        <f>(0.43-0.03)</f>
        <v>0.4</v>
      </c>
      <c r="CY100" s="8">
        <f>(1.5)</f>
        <v>1.5</v>
      </c>
      <c r="DF100" s="8" t="s">
        <v>514</v>
      </c>
    </row>
    <row r="101" spans="1:110" ht="31.5" outlineLevel="1" x14ac:dyDescent="0.25">
      <c r="A101" s="61"/>
      <c r="B101" s="62"/>
      <c r="C101" s="63" t="s">
        <v>243</v>
      </c>
      <c r="D101" s="71">
        <v>1</v>
      </c>
      <c r="E101" s="71">
        <v>0.9</v>
      </c>
      <c r="F101" s="71" t="s">
        <v>273</v>
      </c>
      <c r="G101" s="71">
        <v>1.5</v>
      </c>
      <c r="H101" s="72">
        <f>PRODUCT($CV$101,$CW$101,$CX$101,$CY$101) * -1</f>
        <v>-0.54</v>
      </c>
      <c r="I101" s="65"/>
      <c r="J101" s="65"/>
      <c r="CV101" s="8">
        <f>(1)</f>
        <v>1</v>
      </c>
      <c r="CW101" s="8">
        <f>(0.9)</f>
        <v>0.9</v>
      </c>
      <c r="CX101" s="8">
        <f>(0.43-0.03)</f>
        <v>0.4</v>
      </c>
      <c r="CY101" s="8">
        <f>(1.5)</f>
        <v>1.5</v>
      </c>
      <c r="DF101" s="8" t="s">
        <v>514</v>
      </c>
    </row>
    <row r="102" spans="1:110" ht="31.5" outlineLevel="1" x14ac:dyDescent="0.25">
      <c r="A102" s="61"/>
      <c r="B102" s="62"/>
      <c r="C102" s="63" t="s">
        <v>245</v>
      </c>
      <c r="D102" s="71">
        <v>1</v>
      </c>
      <c r="E102" s="71">
        <v>0.9</v>
      </c>
      <c r="F102" s="71" t="s">
        <v>273</v>
      </c>
      <c r="G102" s="71">
        <v>1.5</v>
      </c>
      <c r="H102" s="72">
        <f>PRODUCT($CV$102,$CW$102,$CX$102,$CY$102) * -1</f>
        <v>-0.54</v>
      </c>
      <c r="I102" s="65"/>
      <c r="J102" s="65"/>
      <c r="CV102" s="8">
        <f>(1)</f>
        <v>1</v>
      </c>
      <c r="CW102" s="8">
        <f>(0.9)</f>
        <v>0.9</v>
      </c>
      <c r="CX102" s="8">
        <f>(0.43-0.03)</f>
        <v>0.4</v>
      </c>
      <c r="CY102" s="8">
        <f>(1.5)</f>
        <v>1.5</v>
      </c>
      <c r="DF102" s="8" t="s">
        <v>514</v>
      </c>
    </row>
    <row r="103" spans="1:110" x14ac:dyDescent="0.25">
      <c r="C103" s="60" t="str">
        <f>CONCATENATE("SOMMANO " &amp; 'Elenco Prezzi'!$C$13)</f>
        <v>SOMMANO m3</v>
      </c>
      <c r="D103" s="70"/>
      <c r="E103" s="70"/>
      <c r="F103" s="70"/>
      <c r="G103" s="70"/>
      <c r="H103" s="69">
        <f>SUM($H$97:$H$102)</f>
        <v>62.323200000000007</v>
      </c>
      <c r="I103" s="65">
        <f>('Elenco Prezzi'!$D$13)</f>
        <v>15</v>
      </c>
      <c r="J103" s="65">
        <f>PRODUCT($H$103,$I$103)</f>
        <v>934.84800000000007</v>
      </c>
      <c r="DF103" s="8" t="s">
        <v>514</v>
      </c>
    </row>
    <row r="104" spans="1:110" ht="31.5" x14ac:dyDescent="0.25">
      <c r="A104" s="3">
        <v>8</v>
      </c>
      <c r="B104" s="56" t="str">
        <f>('Elenco Prezzi'!$A$13)</f>
        <v>100.103</v>
      </c>
      <c r="C104" s="23" t="str">
        <f>('Elenco Prezzi'!$B$13)</f>
        <v>Mattone comune rosso</v>
      </c>
      <c r="D104" s="70"/>
      <c r="E104" s="70"/>
      <c r="F104" s="70"/>
      <c r="G104" s="70"/>
      <c r="H104" s="69"/>
      <c r="I104" s="65"/>
      <c r="J104" s="65"/>
      <c r="K104" s="58" t="s">
        <v>231</v>
      </c>
      <c r="L104" s="58" t="s">
        <v>232</v>
      </c>
      <c r="M104" s="58" t="s">
        <v>232</v>
      </c>
      <c r="N104" s="58" t="s">
        <v>234</v>
      </c>
      <c r="DF104" s="8" t="s">
        <v>514</v>
      </c>
    </row>
    <row r="105" spans="1:110" hidden="1" outlineLevel="1" x14ac:dyDescent="0.25">
      <c r="C105" s="57" t="str">
        <f>('Elenco Prezzi'!$B$14)</f>
        <v>Mattone comune rosso</v>
      </c>
      <c r="D105" s="70"/>
      <c r="E105" s="70"/>
      <c r="F105" s="70"/>
      <c r="G105" s="70"/>
      <c r="H105" s="69"/>
      <c r="I105" s="65"/>
      <c r="J105" s="65"/>
      <c r="DF105" s="8" t="s">
        <v>514</v>
      </c>
    </row>
    <row r="106" spans="1:110" hidden="1" outlineLevel="1" x14ac:dyDescent="0.25">
      <c r="C106" s="57" t="str">
        <f>('Elenco Prezzi'!$B$15)</f>
        <v>Mattone comune rosso</v>
      </c>
      <c r="D106" s="70"/>
      <c r="E106" s="70"/>
      <c r="F106" s="70"/>
      <c r="G106" s="70"/>
      <c r="H106" s="69"/>
      <c r="I106" s="65"/>
      <c r="J106" s="65"/>
      <c r="DF106" s="8" t="s">
        <v>514</v>
      </c>
    </row>
    <row r="107" spans="1:110" outlineLevel="1" x14ac:dyDescent="0.25">
      <c r="C107" s="59" t="s">
        <v>235</v>
      </c>
      <c r="D107" s="70"/>
      <c r="E107" s="70"/>
      <c r="F107" s="70"/>
      <c r="G107" s="70"/>
      <c r="H107" s="69"/>
      <c r="I107" s="65"/>
      <c r="J107" s="65"/>
      <c r="DF107" s="8" t="s">
        <v>514</v>
      </c>
    </row>
    <row r="108" spans="1:110" outlineLevel="1" x14ac:dyDescent="0.25">
      <c r="C108" s="5" t="s">
        <v>266</v>
      </c>
      <c r="D108" s="70"/>
      <c r="E108" s="70">
        <v>21.294</v>
      </c>
      <c r="F108" s="70" t="s">
        <v>273</v>
      </c>
      <c r="G108" s="70">
        <v>3.6</v>
      </c>
      <c r="H108" s="69">
        <f>PRODUCT($CV$108,$CW$108,$CX$108,$CY$108)</f>
        <v>30.663360000000001</v>
      </c>
      <c r="I108" s="65"/>
      <c r="J108" s="65"/>
      <c r="CW108" s="8">
        <f>(21.294)</f>
        <v>21.294</v>
      </c>
      <c r="CX108" s="8">
        <f>(0.43-0.03)</f>
        <v>0.4</v>
      </c>
      <c r="CY108" s="8">
        <f>(3.6)</f>
        <v>3.6</v>
      </c>
      <c r="DF108" s="8" t="s">
        <v>514</v>
      </c>
    </row>
    <row r="109" spans="1:110" outlineLevel="1" x14ac:dyDescent="0.25">
      <c r="C109" s="5" t="s">
        <v>265</v>
      </c>
      <c r="D109" s="70"/>
      <c r="E109" s="70">
        <v>15.5</v>
      </c>
      <c r="F109" s="70" t="s">
        <v>273</v>
      </c>
      <c r="G109" s="70">
        <v>3.6</v>
      </c>
      <c r="H109" s="69">
        <f>PRODUCT($CV$109,$CW$109,$CX$109,$CY$109)</f>
        <v>22.32</v>
      </c>
      <c r="I109" s="65"/>
      <c r="J109" s="65"/>
      <c r="CW109" s="8">
        <f>(15.5)</f>
        <v>15.5</v>
      </c>
      <c r="CX109" s="8">
        <f>(0.43-0.03)</f>
        <v>0.4</v>
      </c>
      <c r="CY109" s="8">
        <f>(3.6)</f>
        <v>3.6</v>
      </c>
      <c r="DF109" s="8" t="s">
        <v>514</v>
      </c>
    </row>
    <row r="110" spans="1:110" outlineLevel="1" x14ac:dyDescent="0.25">
      <c r="C110" s="5" t="s">
        <v>264</v>
      </c>
      <c r="D110" s="70"/>
      <c r="E110" s="70">
        <v>11.525</v>
      </c>
      <c r="F110" s="70" t="s">
        <v>273</v>
      </c>
      <c r="G110" s="70">
        <v>3.6</v>
      </c>
      <c r="H110" s="69">
        <f>PRODUCT($CV$110,$CW$110,$CX$110,$CY$110)</f>
        <v>16.596</v>
      </c>
      <c r="I110" s="65"/>
      <c r="J110" s="65"/>
      <c r="CW110" s="8">
        <f>(11.525)</f>
        <v>11.525</v>
      </c>
      <c r="CX110" s="8">
        <f>(0.43-0.03)</f>
        <v>0.4</v>
      </c>
      <c r="CY110" s="8">
        <f>(3.6)</f>
        <v>3.6</v>
      </c>
      <c r="DF110" s="8" t="s">
        <v>514</v>
      </c>
    </row>
    <row r="111" spans="1:110" outlineLevel="1" x14ac:dyDescent="0.25">
      <c r="C111" s="5" t="s">
        <v>259</v>
      </c>
      <c r="D111" s="70"/>
      <c r="E111" s="70">
        <v>11.39</v>
      </c>
      <c r="F111" s="70" t="s">
        <v>275</v>
      </c>
      <c r="G111" s="70">
        <v>3.6</v>
      </c>
      <c r="H111" s="69">
        <f>PRODUCT($CV$111,$CW$111,$CX$111,$CY$111)</f>
        <v>9.8409600000000026</v>
      </c>
      <c r="I111" s="65"/>
      <c r="J111" s="65"/>
      <c r="CW111" s="8">
        <f>(11.39)</f>
        <v>11.39</v>
      </c>
      <c r="CX111" s="8">
        <f>(0.27-0.03)</f>
        <v>0.24000000000000002</v>
      </c>
      <c r="CY111" s="8">
        <f>(3.6)</f>
        <v>3.6</v>
      </c>
      <c r="DF111" s="8" t="s">
        <v>514</v>
      </c>
    </row>
    <row r="112" spans="1:110" outlineLevel="1" x14ac:dyDescent="0.25">
      <c r="C112" s="5" t="s">
        <v>263</v>
      </c>
      <c r="D112" s="70"/>
      <c r="E112" s="70">
        <v>3.7269999999999999</v>
      </c>
      <c r="F112" s="70" t="s">
        <v>275</v>
      </c>
      <c r="G112" s="70">
        <v>3.6</v>
      </c>
      <c r="H112" s="69">
        <f>PRODUCT($CV$112,$CW$112,$CX$112,$CY$112)</f>
        <v>3.2201280000000003</v>
      </c>
      <c r="I112" s="65"/>
      <c r="J112" s="65"/>
      <c r="CW112" s="8">
        <f>(3.727)</f>
        <v>3.7269999999999999</v>
      </c>
      <c r="CX112" s="8">
        <f>(0.27-0.03)</f>
        <v>0.24000000000000002</v>
      </c>
      <c r="CY112" s="8">
        <f>(3.6)</f>
        <v>3.6</v>
      </c>
      <c r="DF112" s="8" t="s">
        <v>514</v>
      </c>
    </row>
    <row r="113" spans="1:110" outlineLevel="1" x14ac:dyDescent="0.25">
      <c r="C113" s="5" t="s">
        <v>262</v>
      </c>
      <c r="D113" s="70"/>
      <c r="E113" s="70">
        <v>2.3199999999999998</v>
      </c>
      <c r="F113" s="70" t="s">
        <v>275</v>
      </c>
      <c r="G113" s="70">
        <v>3.6</v>
      </c>
      <c r="H113" s="69">
        <f>PRODUCT($CV$113,$CW$113,$CX$113,$CY$113)</f>
        <v>2.00448</v>
      </c>
      <c r="I113" s="65"/>
      <c r="J113" s="65"/>
      <c r="CW113" s="8">
        <f>(2.32)</f>
        <v>2.3199999999999998</v>
      </c>
      <c r="CX113" s="8">
        <f>(0.27-0.03)</f>
        <v>0.24000000000000002</v>
      </c>
      <c r="CY113" s="8">
        <f>(3.6)</f>
        <v>3.6</v>
      </c>
      <c r="DF113" s="8" t="s">
        <v>514</v>
      </c>
    </row>
    <row r="114" spans="1:110" outlineLevel="1" x14ac:dyDescent="0.25">
      <c r="C114" s="5" t="s">
        <v>261</v>
      </c>
      <c r="D114" s="70"/>
      <c r="E114" s="70">
        <v>2.1800000000000002</v>
      </c>
      <c r="F114" s="70" t="s">
        <v>275</v>
      </c>
      <c r="G114" s="70">
        <v>3.6</v>
      </c>
      <c r="H114" s="69">
        <f>PRODUCT($CV$114,$CW$114,$CX$114,$CY$114)</f>
        <v>1.8835200000000005</v>
      </c>
      <c r="I114" s="65"/>
      <c r="J114" s="65"/>
      <c r="CW114" s="8">
        <f>(2.18)</f>
        <v>2.1800000000000002</v>
      </c>
      <c r="CX114" s="8">
        <f>(0.27-0.03)</f>
        <v>0.24000000000000002</v>
      </c>
      <c r="CY114" s="8">
        <f>(3.6)</f>
        <v>3.6</v>
      </c>
      <c r="DF114" s="8" t="s">
        <v>514</v>
      </c>
    </row>
    <row r="115" spans="1:110" outlineLevel="1" x14ac:dyDescent="0.25">
      <c r="C115" s="5" t="s">
        <v>260</v>
      </c>
      <c r="D115" s="70"/>
      <c r="E115" s="70">
        <v>5.9610000000000003</v>
      </c>
      <c r="F115" s="70" t="s">
        <v>275</v>
      </c>
      <c r="G115" s="70">
        <v>3.6</v>
      </c>
      <c r="H115" s="69">
        <f>PRODUCT($CV$115,$CW$115,$CX$115,$CY$115)</f>
        <v>5.1503040000000002</v>
      </c>
      <c r="I115" s="65"/>
      <c r="J115" s="65"/>
      <c r="CW115" s="8">
        <f>(5.961)</f>
        <v>5.9610000000000003</v>
      </c>
      <c r="CX115" s="8">
        <f>(0.27-0.03)</f>
        <v>0.24000000000000002</v>
      </c>
      <c r="CY115" s="8">
        <f>(3.6)</f>
        <v>3.6</v>
      </c>
      <c r="DF115" s="8" t="s">
        <v>514</v>
      </c>
    </row>
    <row r="116" spans="1:110" ht="31.5" outlineLevel="1" x14ac:dyDescent="0.25">
      <c r="A116" s="61"/>
      <c r="B116" s="62"/>
      <c r="C116" s="63" t="s">
        <v>268</v>
      </c>
      <c r="D116" s="71">
        <v>1</v>
      </c>
      <c r="E116" s="71">
        <v>0.9</v>
      </c>
      <c r="F116" s="71" t="s">
        <v>273</v>
      </c>
      <c r="G116" s="71">
        <v>1.5</v>
      </c>
      <c r="H116" s="72">
        <f>PRODUCT($CV$116,$CW$116,$CX$116,$CY$116) * -1</f>
        <v>-0.54</v>
      </c>
      <c r="I116" s="65"/>
      <c r="J116" s="65"/>
      <c r="CV116" s="8">
        <f>(1)</f>
        <v>1</v>
      </c>
      <c r="CW116" s="8">
        <f>(0.9)</f>
        <v>0.9</v>
      </c>
      <c r="CX116" s="8">
        <f>(0.43-0.03)</f>
        <v>0.4</v>
      </c>
      <c r="CY116" s="8">
        <f>(1.5)</f>
        <v>1.5</v>
      </c>
      <c r="DF116" s="8" t="s">
        <v>514</v>
      </c>
    </row>
    <row r="117" spans="1:110" ht="31.5" outlineLevel="1" x14ac:dyDescent="0.25">
      <c r="A117" s="61"/>
      <c r="B117" s="62"/>
      <c r="C117" s="63" t="s">
        <v>269</v>
      </c>
      <c r="D117" s="71">
        <v>1</v>
      </c>
      <c r="E117" s="71">
        <v>0.9</v>
      </c>
      <c r="F117" s="71" t="s">
        <v>273</v>
      </c>
      <c r="G117" s="71">
        <v>1.5</v>
      </c>
      <c r="H117" s="72">
        <f>PRODUCT($CV$117,$CW$117,$CX$117,$CY$117) * -1</f>
        <v>-0.54</v>
      </c>
      <c r="I117" s="65"/>
      <c r="J117" s="65"/>
      <c r="CV117" s="8">
        <f>(1)</f>
        <v>1</v>
      </c>
      <c r="CW117" s="8">
        <f>(0.9)</f>
        <v>0.9</v>
      </c>
      <c r="CX117" s="8">
        <f>(0.43-0.03)</f>
        <v>0.4</v>
      </c>
      <c r="CY117" s="8">
        <f>(1.5)</f>
        <v>1.5</v>
      </c>
      <c r="DF117" s="8" t="s">
        <v>514</v>
      </c>
    </row>
    <row r="118" spans="1:110" ht="31.5" outlineLevel="1" x14ac:dyDescent="0.25">
      <c r="A118" s="61"/>
      <c r="B118" s="62"/>
      <c r="C118" s="63" t="s">
        <v>267</v>
      </c>
      <c r="D118" s="71">
        <v>1</v>
      </c>
      <c r="E118" s="71">
        <v>0.9</v>
      </c>
      <c r="F118" s="71" t="s">
        <v>273</v>
      </c>
      <c r="G118" s="71">
        <v>1.5</v>
      </c>
      <c r="H118" s="72">
        <f>PRODUCT($CV$118,$CW$118,$CX$118,$CY$118) * -1</f>
        <v>-0.54</v>
      </c>
      <c r="I118" s="65"/>
      <c r="J118" s="65"/>
      <c r="CV118" s="8">
        <f>(1)</f>
        <v>1</v>
      </c>
      <c r="CW118" s="8">
        <f>(0.9)</f>
        <v>0.9</v>
      </c>
      <c r="CX118" s="8">
        <f>(0.43-0.03)</f>
        <v>0.4</v>
      </c>
      <c r="CY118" s="8">
        <f>(1.5)</f>
        <v>1.5</v>
      </c>
      <c r="DF118" s="8" t="s">
        <v>514</v>
      </c>
    </row>
    <row r="119" spans="1:110" ht="31.5" outlineLevel="1" x14ac:dyDescent="0.25">
      <c r="A119" s="61"/>
      <c r="B119" s="62"/>
      <c r="C119" s="63" t="s">
        <v>272</v>
      </c>
      <c r="D119" s="71"/>
      <c r="E119" s="71">
        <v>1.5</v>
      </c>
      <c r="F119" s="71" t="s">
        <v>273</v>
      </c>
      <c r="G119" s="71">
        <v>2.5099999999999998</v>
      </c>
      <c r="H119" s="72">
        <f>PRODUCT($CV$119,$CW$119,$CX$119,$CY$119) * -1</f>
        <v>-1.506</v>
      </c>
      <c r="I119" s="65"/>
      <c r="J119" s="65"/>
      <c r="CW119" s="8">
        <f>(1.5)</f>
        <v>1.5</v>
      </c>
      <c r="CX119" s="8">
        <f>(0.43-0.03)</f>
        <v>0.4</v>
      </c>
      <c r="CY119" s="8">
        <f>(2.51)</f>
        <v>2.5099999999999998</v>
      </c>
      <c r="DF119" s="8" t="s">
        <v>514</v>
      </c>
    </row>
    <row r="120" spans="1:110" ht="31.5" outlineLevel="1" x14ac:dyDescent="0.25">
      <c r="A120" s="61"/>
      <c r="B120" s="62"/>
      <c r="C120" s="63" t="s">
        <v>271</v>
      </c>
      <c r="D120" s="71"/>
      <c r="E120" s="71">
        <v>2</v>
      </c>
      <c r="F120" s="71" t="s">
        <v>273</v>
      </c>
      <c r="G120" s="71">
        <v>2.5099999999999998</v>
      </c>
      <c r="H120" s="72">
        <f>PRODUCT($CV$120,$CW$120,$CX$120,$CY$120) * -1</f>
        <v>-2.008</v>
      </c>
      <c r="I120" s="65"/>
      <c r="J120" s="65"/>
      <c r="CW120" s="8">
        <f>(2)</f>
        <v>2</v>
      </c>
      <c r="CX120" s="8">
        <f>(0.43-0.03)</f>
        <v>0.4</v>
      </c>
      <c r="CY120" s="8">
        <f>(2.51)</f>
        <v>2.5099999999999998</v>
      </c>
      <c r="DF120" s="8" t="s">
        <v>514</v>
      </c>
    </row>
    <row r="121" spans="1:110" x14ac:dyDescent="0.25">
      <c r="C121" s="60" t="str">
        <f>CONCATENATE("SOMMANO " &amp; 'Elenco Prezzi'!$C$13)</f>
        <v>SOMMANO m3</v>
      </c>
      <c r="D121" s="70"/>
      <c r="E121" s="70"/>
      <c r="F121" s="70"/>
      <c r="G121" s="70"/>
      <c r="H121" s="69">
        <f>SUM($H$108:$H$120)</f>
        <v>86.544752000000003</v>
      </c>
      <c r="I121" s="65">
        <f>('Elenco Prezzi'!$D$13)</f>
        <v>15</v>
      </c>
      <c r="J121" s="65">
        <f>PRODUCT($H$121,$I$121)</f>
        <v>1298.17128</v>
      </c>
      <c r="DF121" s="8" t="s">
        <v>514</v>
      </c>
    </row>
    <row r="122" spans="1:110" ht="31.5" x14ac:dyDescent="0.25">
      <c r="A122" s="3">
        <v>9</v>
      </c>
      <c r="B122" s="56" t="str">
        <f>('Elenco Prezzi'!$A$16)</f>
        <v>100.104</v>
      </c>
      <c r="C122" s="23" t="str">
        <f>('Elenco Prezzi'!$B$16)</f>
        <v>Laterizio per tramezzo</v>
      </c>
      <c r="D122" s="70"/>
      <c r="E122" s="70"/>
      <c r="F122" s="70"/>
      <c r="G122" s="70"/>
      <c r="H122" s="69"/>
      <c r="I122" s="65"/>
      <c r="J122" s="65"/>
      <c r="K122" s="58" t="s">
        <v>231</v>
      </c>
      <c r="L122" s="58" t="s">
        <v>232</v>
      </c>
      <c r="M122" s="58" t="s">
        <v>232</v>
      </c>
      <c r="N122" s="58" t="s">
        <v>234</v>
      </c>
      <c r="DF122" s="8" t="s">
        <v>514</v>
      </c>
    </row>
    <row r="123" spans="1:110" hidden="1" outlineLevel="1" x14ac:dyDescent="0.25">
      <c r="C123" s="57" t="str">
        <f>('Elenco Prezzi'!$B$17)</f>
        <v>Laterizio per tramezzo</v>
      </c>
      <c r="D123" s="70"/>
      <c r="E123" s="70"/>
      <c r="F123" s="70"/>
      <c r="G123" s="70"/>
      <c r="H123" s="69"/>
      <c r="I123" s="65"/>
      <c r="J123" s="65"/>
      <c r="DF123" s="8" t="s">
        <v>514</v>
      </c>
    </row>
    <row r="124" spans="1:110" hidden="1" outlineLevel="1" x14ac:dyDescent="0.25">
      <c r="C124" s="57" t="str">
        <f>('Elenco Prezzi'!$B$18)</f>
        <v>Laterizio per tramezzo</v>
      </c>
      <c r="D124" s="70"/>
      <c r="E124" s="70"/>
      <c r="F124" s="70"/>
      <c r="G124" s="70"/>
      <c r="H124" s="69"/>
      <c r="I124" s="65"/>
      <c r="J124" s="65"/>
      <c r="DF124" s="8" t="s">
        <v>514</v>
      </c>
    </row>
    <row r="125" spans="1:110" outlineLevel="1" x14ac:dyDescent="0.25">
      <c r="C125" s="59" t="s">
        <v>235</v>
      </c>
      <c r="D125" s="70"/>
      <c r="E125" s="70"/>
      <c r="F125" s="70"/>
      <c r="G125" s="70"/>
      <c r="H125" s="69"/>
      <c r="I125" s="65"/>
      <c r="J125" s="65"/>
      <c r="DF125" s="8" t="s">
        <v>514</v>
      </c>
    </row>
    <row r="126" spans="1:110" outlineLevel="1" x14ac:dyDescent="0.25">
      <c r="C126" s="5" t="s">
        <v>255</v>
      </c>
      <c r="D126" s="70"/>
      <c r="E126" s="70">
        <v>1.262</v>
      </c>
      <c r="F126" s="70" t="s">
        <v>276</v>
      </c>
      <c r="G126" s="70">
        <v>3.6</v>
      </c>
      <c r="H126" s="69">
        <f>PRODUCT($CV$126,$CW$126,$CX$126,$CY$126)</f>
        <v>0.31802400000000008</v>
      </c>
      <c r="I126" s="65"/>
      <c r="J126" s="65"/>
      <c r="CW126" s="8">
        <f>(1.262)</f>
        <v>1.262</v>
      </c>
      <c r="CX126" s="8">
        <f>(0.1-0.03)</f>
        <v>7.0000000000000007E-2</v>
      </c>
      <c r="CY126" s="8">
        <f>(3.6)</f>
        <v>3.6</v>
      </c>
      <c r="DF126" s="8" t="s">
        <v>514</v>
      </c>
    </row>
    <row r="127" spans="1:110" outlineLevel="1" x14ac:dyDescent="0.25">
      <c r="C127" s="5" t="s">
        <v>257</v>
      </c>
      <c r="D127" s="70"/>
      <c r="E127" s="70">
        <v>1.4370000000000001</v>
      </c>
      <c r="F127" s="70" t="s">
        <v>276</v>
      </c>
      <c r="G127" s="70">
        <v>3.6</v>
      </c>
      <c r="H127" s="69">
        <f>PRODUCT($CV$127,$CW$127,$CX$127,$CY$127)</f>
        <v>0.36212400000000006</v>
      </c>
      <c r="I127" s="65"/>
      <c r="J127" s="65"/>
      <c r="CW127" s="8">
        <f>(1.437)</f>
        <v>1.4370000000000001</v>
      </c>
      <c r="CX127" s="8">
        <f>(0.1-0.03)</f>
        <v>7.0000000000000007E-2</v>
      </c>
      <c r="CY127" s="8">
        <f>(3.6)</f>
        <v>3.6</v>
      </c>
      <c r="DF127" s="8" t="s">
        <v>514</v>
      </c>
    </row>
    <row r="128" spans="1:110" outlineLevel="1" x14ac:dyDescent="0.25">
      <c r="C128" s="5" t="s">
        <v>256</v>
      </c>
      <c r="D128" s="70"/>
      <c r="E128" s="70">
        <v>3.6920000000000002</v>
      </c>
      <c r="F128" s="70" t="s">
        <v>276</v>
      </c>
      <c r="G128" s="70">
        <v>3.6</v>
      </c>
      <c r="H128" s="69">
        <f>PRODUCT($CV$128,$CW$128,$CX$128,$CY$128)</f>
        <v>0.93038400000000021</v>
      </c>
      <c r="I128" s="65"/>
      <c r="J128" s="65"/>
      <c r="CW128" s="8">
        <f>(3.692)</f>
        <v>3.6920000000000002</v>
      </c>
      <c r="CX128" s="8">
        <f>(0.1-0.03)</f>
        <v>7.0000000000000007E-2</v>
      </c>
      <c r="CY128" s="8">
        <f>(3.6)</f>
        <v>3.6</v>
      </c>
      <c r="DF128" s="8" t="s">
        <v>514</v>
      </c>
    </row>
    <row r="129" spans="1:110" outlineLevel="1" x14ac:dyDescent="0.25">
      <c r="C129" s="5" t="s">
        <v>258</v>
      </c>
      <c r="D129" s="70"/>
      <c r="E129" s="70">
        <v>3.8679999999999999</v>
      </c>
      <c r="F129" s="70" t="s">
        <v>276</v>
      </c>
      <c r="G129" s="70">
        <v>3.6</v>
      </c>
      <c r="H129" s="69">
        <f>PRODUCT($CV$129,$CW$129,$CX$129,$CY$129)</f>
        <v>0.97473600000000005</v>
      </c>
      <c r="I129" s="65"/>
      <c r="J129" s="65"/>
      <c r="CW129" s="8">
        <f>(3.868)</f>
        <v>3.8679999999999999</v>
      </c>
      <c r="CX129" s="8">
        <f>(0.1-0.03)</f>
        <v>7.0000000000000007E-2</v>
      </c>
      <c r="CY129" s="8">
        <f>(3.6)</f>
        <v>3.6</v>
      </c>
      <c r="DF129" s="8" t="s">
        <v>514</v>
      </c>
    </row>
    <row r="130" spans="1:110" x14ac:dyDescent="0.25">
      <c r="C130" s="60" t="str">
        <f>CONCATENATE("SOMMANO " &amp; 'Elenco Prezzi'!$C$16)</f>
        <v>SOMMANO m3</v>
      </c>
      <c r="D130" s="70"/>
      <c r="E130" s="70"/>
      <c r="F130" s="70"/>
      <c r="G130" s="70"/>
      <c r="H130" s="69">
        <f>SUM($H$126:$H$129)</f>
        <v>2.5852680000000006</v>
      </c>
      <c r="I130" s="65">
        <f>('Elenco Prezzi'!$D$16)</f>
        <v>6</v>
      </c>
      <c r="J130" s="65">
        <f>PRODUCT($H$130,$I$130)</f>
        <v>15.511608000000003</v>
      </c>
      <c r="DF130" s="8" t="s">
        <v>514</v>
      </c>
    </row>
    <row r="131" spans="1:110" ht="31.5" x14ac:dyDescent="0.25">
      <c r="A131" s="3">
        <v>10</v>
      </c>
      <c r="B131" s="56" t="str">
        <f>('Elenco Prezzi'!$A$19)</f>
        <v>100.105</v>
      </c>
      <c r="C131" s="23" t="str">
        <f>('Elenco Prezzi'!$B$19)</f>
        <v>Intonaco beige</v>
      </c>
      <c r="D131" s="70"/>
      <c r="E131" s="70"/>
      <c r="F131" s="70"/>
      <c r="G131" s="70"/>
      <c r="H131" s="69"/>
      <c r="I131" s="65"/>
      <c r="J131" s="65"/>
      <c r="K131" s="58" t="s">
        <v>239</v>
      </c>
      <c r="L131" s="58" t="s">
        <v>232</v>
      </c>
      <c r="M131" s="58" t="s">
        <v>232</v>
      </c>
      <c r="N131" s="58" t="s">
        <v>234</v>
      </c>
      <c r="DF131" s="8" t="s">
        <v>514</v>
      </c>
    </row>
    <row r="132" spans="1:110" hidden="1" outlineLevel="1" x14ac:dyDescent="0.25">
      <c r="C132" s="57" t="str">
        <f>('Elenco Prezzi'!$B$20)</f>
        <v>Intonaco beige</v>
      </c>
      <c r="D132" s="70"/>
      <c r="E132" s="70"/>
      <c r="F132" s="70"/>
      <c r="G132" s="70"/>
      <c r="H132" s="69"/>
      <c r="I132" s="65"/>
      <c r="J132" s="65"/>
      <c r="DF132" s="8" t="s">
        <v>514</v>
      </c>
    </row>
    <row r="133" spans="1:110" hidden="1" outlineLevel="1" x14ac:dyDescent="0.25">
      <c r="C133" s="57" t="str">
        <f>('Elenco Prezzi'!$B$21)</f>
        <v>Intonaco beige</v>
      </c>
      <c r="D133" s="70"/>
      <c r="E133" s="70"/>
      <c r="F133" s="70"/>
      <c r="G133" s="70"/>
      <c r="H133" s="69"/>
      <c r="I133" s="65"/>
      <c r="J133" s="65"/>
      <c r="DF133" s="8" t="s">
        <v>514</v>
      </c>
    </row>
    <row r="134" spans="1:110" outlineLevel="1" x14ac:dyDescent="0.25">
      <c r="C134" s="59" t="s">
        <v>235</v>
      </c>
      <c r="D134" s="70"/>
      <c r="E134" s="70"/>
      <c r="F134" s="70"/>
      <c r="G134" s="70"/>
      <c r="H134" s="69"/>
      <c r="I134" s="65"/>
      <c r="J134" s="65"/>
      <c r="DF134" s="8" t="s">
        <v>514</v>
      </c>
    </row>
    <row r="135" spans="1:110" outlineLevel="1" x14ac:dyDescent="0.25">
      <c r="C135" s="5" t="s">
        <v>240</v>
      </c>
      <c r="D135" s="70"/>
      <c r="E135" s="70">
        <v>12</v>
      </c>
      <c r="F135" s="70">
        <v>1.4999999999999999E-2</v>
      </c>
      <c r="G135" s="70">
        <v>3.6</v>
      </c>
      <c r="H135" s="69">
        <f>PRODUCT($CV$135,$CW$135,$CX$135,$CY$135)</f>
        <v>0.64800000000000002</v>
      </c>
      <c r="I135" s="65"/>
      <c r="J135" s="65"/>
      <c r="CW135" s="8">
        <f>(12)</f>
        <v>12</v>
      </c>
      <c r="CX135" s="8">
        <f>(0.015)</f>
        <v>1.4999999999999999E-2</v>
      </c>
      <c r="CY135" s="8">
        <f>(3.6)</f>
        <v>3.6</v>
      </c>
      <c r="DF135" s="8" t="s">
        <v>514</v>
      </c>
    </row>
    <row r="136" spans="1:110" outlineLevel="1" x14ac:dyDescent="0.25">
      <c r="C136" s="5" t="s">
        <v>242</v>
      </c>
      <c r="D136" s="70"/>
      <c r="E136" s="70">
        <v>12</v>
      </c>
      <c r="F136" s="70">
        <v>1.4999999999999999E-2</v>
      </c>
      <c r="G136" s="70">
        <v>3.6</v>
      </c>
      <c r="H136" s="69">
        <f>PRODUCT($CV$136,$CW$136,$CX$136,$CY$136)</f>
        <v>0.64800000000000002</v>
      </c>
      <c r="I136" s="65"/>
      <c r="J136" s="65"/>
      <c r="CW136" s="8">
        <f>(12)</f>
        <v>12</v>
      </c>
      <c r="CX136" s="8">
        <f>(0.015)</f>
        <v>1.4999999999999999E-2</v>
      </c>
      <c r="CY136" s="8">
        <f>(3.6)</f>
        <v>3.6</v>
      </c>
      <c r="DF136" s="8" t="s">
        <v>514</v>
      </c>
    </row>
    <row r="137" spans="1:110" outlineLevel="1" x14ac:dyDescent="0.25">
      <c r="C137" s="5" t="s">
        <v>241</v>
      </c>
      <c r="D137" s="70"/>
      <c r="E137" s="70">
        <v>20.405000000000001</v>
      </c>
      <c r="F137" s="70">
        <v>1.4999999999999999E-2</v>
      </c>
      <c r="G137" s="70">
        <v>3.6</v>
      </c>
      <c r="H137" s="69">
        <f>PRODUCT($CV$137,$CW$137,$CX$137,$CY$137)</f>
        <v>1.1018699999999999</v>
      </c>
      <c r="I137" s="65"/>
      <c r="J137" s="65"/>
      <c r="CW137" s="8">
        <f>(20.405)</f>
        <v>20.405000000000001</v>
      </c>
      <c r="CX137" s="8">
        <f>(0.015)</f>
        <v>1.4999999999999999E-2</v>
      </c>
      <c r="CY137" s="8">
        <f>(3.6)</f>
        <v>3.6</v>
      </c>
      <c r="DF137" s="8" t="s">
        <v>514</v>
      </c>
    </row>
    <row r="138" spans="1:110" ht="31.5" outlineLevel="1" x14ac:dyDescent="0.25">
      <c r="A138" s="61"/>
      <c r="B138" s="62"/>
      <c r="C138" s="63" t="s">
        <v>244</v>
      </c>
      <c r="D138" s="71">
        <v>1</v>
      </c>
      <c r="E138" s="71">
        <v>0.9</v>
      </c>
      <c r="F138" s="71">
        <v>1.4999999999999999E-2</v>
      </c>
      <c r="G138" s="71">
        <v>1.5</v>
      </c>
      <c r="H138" s="72">
        <f>PRODUCT($CV$138,$CW$138,$CX$138,$CY$138) * -1</f>
        <v>-2.0250000000000001E-2</v>
      </c>
      <c r="I138" s="65"/>
      <c r="J138" s="65"/>
      <c r="CV138" s="8">
        <f>(1)</f>
        <v>1</v>
      </c>
      <c r="CW138" s="8">
        <f>(0.9)</f>
        <v>0.9</v>
      </c>
      <c r="CX138" s="8">
        <f>(0.015)</f>
        <v>1.4999999999999999E-2</v>
      </c>
      <c r="CY138" s="8">
        <f>(1.5)</f>
        <v>1.5</v>
      </c>
      <c r="DF138" s="8" t="s">
        <v>514</v>
      </c>
    </row>
    <row r="139" spans="1:110" ht="31.5" outlineLevel="1" x14ac:dyDescent="0.25">
      <c r="A139" s="61"/>
      <c r="B139" s="62"/>
      <c r="C139" s="63" t="s">
        <v>245</v>
      </c>
      <c r="D139" s="71">
        <v>1</v>
      </c>
      <c r="E139" s="71">
        <v>0.9</v>
      </c>
      <c r="F139" s="71">
        <v>1.4999999999999999E-2</v>
      </c>
      <c r="G139" s="71">
        <v>1.5</v>
      </c>
      <c r="H139" s="72">
        <f>PRODUCT($CV$139,$CW$139,$CX$139,$CY$139) * -1</f>
        <v>-2.0250000000000001E-2</v>
      </c>
      <c r="I139" s="65"/>
      <c r="J139" s="65"/>
      <c r="CV139" s="8">
        <f>(1)</f>
        <v>1</v>
      </c>
      <c r="CW139" s="8">
        <f>(0.9)</f>
        <v>0.9</v>
      </c>
      <c r="CX139" s="8">
        <f>(0.015)</f>
        <v>1.4999999999999999E-2</v>
      </c>
      <c r="CY139" s="8">
        <f>(1.5)</f>
        <v>1.5</v>
      </c>
      <c r="DF139" s="8" t="s">
        <v>514</v>
      </c>
    </row>
    <row r="140" spans="1:110" ht="31.5" outlineLevel="1" x14ac:dyDescent="0.25">
      <c r="A140" s="61"/>
      <c r="B140" s="62"/>
      <c r="C140" s="63" t="s">
        <v>243</v>
      </c>
      <c r="D140" s="71">
        <v>1</v>
      </c>
      <c r="E140" s="71">
        <v>0.9</v>
      </c>
      <c r="F140" s="71">
        <v>1.4999999999999999E-2</v>
      </c>
      <c r="G140" s="71">
        <v>1.5</v>
      </c>
      <c r="H140" s="72">
        <f>PRODUCT($CV$140,$CW$140,$CX$140,$CY$140) * -1</f>
        <v>-2.0250000000000001E-2</v>
      </c>
      <c r="I140" s="65"/>
      <c r="J140" s="65"/>
      <c r="CV140" s="8">
        <f>(1)</f>
        <v>1</v>
      </c>
      <c r="CW140" s="8">
        <f>(0.9)</f>
        <v>0.9</v>
      </c>
      <c r="CX140" s="8">
        <f>(0.015)</f>
        <v>1.4999999999999999E-2</v>
      </c>
      <c r="CY140" s="8">
        <f>(1.5)</f>
        <v>1.5</v>
      </c>
      <c r="DF140" s="8" t="s">
        <v>514</v>
      </c>
    </row>
    <row r="141" spans="1:110" x14ac:dyDescent="0.25">
      <c r="C141" s="60" t="str">
        <f>CONCATENATE("SOMMANO " &amp; 'Elenco Prezzi'!$C$19)</f>
        <v>SOMMANO m3</v>
      </c>
      <c r="D141" s="70"/>
      <c r="E141" s="70"/>
      <c r="F141" s="70"/>
      <c r="G141" s="70"/>
      <c r="H141" s="69">
        <f>SUM($H$135:$H$140)</f>
        <v>2.3371200000000005</v>
      </c>
      <c r="I141" s="65">
        <f>('Elenco Prezzi'!$D$19)</f>
        <v>8</v>
      </c>
      <c r="J141" s="65">
        <f>PRODUCT($H$141,$I$141)</f>
        <v>18.696960000000004</v>
      </c>
      <c r="DF141" s="8" t="s">
        <v>514</v>
      </c>
    </row>
    <row r="142" spans="1:110" ht="31.5" x14ac:dyDescent="0.25">
      <c r="A142" s="3">
        <v>11</v>
      </c>
      <c r="B142" s="56" t="str">
        <f>('Elenco Prezzi'!$A$19)</f>
        <v>100.105</v>
      </c>
      <c r="C142" s="23" t="str">
        <f>('Elenco Prezzi'!$B$19)</f>
        <v>Intonaco beige</v>
      </c>
      <c r="D142" s="70"/>
      <c r="E142" s="70"/>
      <c r="F142" s="70"/>
      <c r="G142" s="70"/>
      <c r="H142" s="69"/>
      <c r="I142" s="65"/>
      <c r="J142" s="65"/>
      <c r="K142" s="58" t="s">
        <v>231</v>
      </c>
      <c r="L142" s="58" t="s">
        <v>232</v>
      </c>
      <c r="M142" s="58" t="s">
        <v>232</v>
      </c>
      <c r="N142" s="58" t="s">
        <v>234</v>
      </c>
      <c r="DF142" s="8" t="s">
        <v>514</v>
      </c>
    </row>
    <row r="143" spans="1:110" hidden="1" outlineLevel="1" x14ac:dyDescent="0.25">
      <c r="C143" s="57" t="str">
        <f>('Elenco Prezzi'!$B$20)</f>
        <v>Intonaco beige</v>
      </c>
      <c r="D143" s="70"/>
      <c r="E143" s="70"/>
      <c r="F143" s="70"/>
      <c r="G143" s="70"/>
      <c r="H143" s="69"/>
      <c r="I143" s="65"/>
      <c r="J143" s="65"/>
      <c r="DF143" s="8" t="s">
        <v>514</v>
      </c>
    </row>
    <row r="144" spans="1:110" hidden="1" outlineLevel="1" x14ac:dyDescent="0.25">
      <c r="C144" s="57" t="str">
        <f>('Elenco Prezzi'!$B$21)</f>
        <v>Intonaco beige</v>
      </c>
      <c r="D144" s="70"/>
      <c r="E144" s="70"/>
      <c r="F144" s="70"/>
      <c r="G144" s="70"/>
      <c r="H144" s="69"/>
      <c r="I144" s="65"/>
      <c r="J144" s="65"/>
      <c r="DF144" s="8" t="s">
        <v>514</v>
      </c>
    </row>
    <row r="145" spans="3:110" outlineLevel="1" x14ac:dyDescent="0.25">
      <c r="C145" s="59" t="s">
        <v>235</v>
      </c>
      <c r="D145" s="70"/>
      <c r="E145" s="70"/>
      <c r="F145" s="70"/>
      <c r="G145" s="70"/>
      <c r="H145" s="69"/>
      <c r="I145" s="65"/>
      <c r="J145" s="65"/>
      <c r="DF145" s="8" t="s">
        <v>514</v>
      </c>
    </row>
    <row r="146" spans="3:110" outlineLevel="1" x14ac:dyDescent="0.25">
      <c r="C146" s="5" t="s">
        <v>264</v>
      </c>
      <c r="D146" s="70"/>
      <c r="E146" s="70">
        <v>11.525</v>
      </c>
      <c r="F146" s="70">
        <v>1.4999999999999999E-2</v>
      </c>
      <c r="G146" s="70">
        <v>3.6</v>
      </c>
      <c r="H146" s="69">
        <f>PRODUCT($CV$146,$CW$146,$CX$146,$CY$146)</f>
        <v>0.62235000000000007</v>
      </c>
      <c r="I146" s="65"/>
      <c r="J146" s="65"/>
      <c r="CW146" s="8">
        <f>(11.525)</f>
        <v>11.525</v>
      </c>
      <c r="CX146" s="8">
        <f>(0.015)</f>
        <v>1.4999999999999999E-2</v>
      </c>
      <c r="CY146" s="8">
        <f>(3.6)</f>
        <v>3.6</v>
      </c>
      <c r="DF146" s="8" t="s">
        <v>514</v>
      </c>
    </row>
    <row r="147" spans="3:110" outlineLevel="1" x14ac:dyDescent="0.25">
      <c r="C147" s="5" t="s">
        <v>265</v>
      </c>
      <c r="D147" s="70"/>
      <c r="E147" s="70">
        <v>15.5</v>
      </c>
      <c r="F147" s="70">
        <v>1.4999999999999999E-2</v>
      </c>
      <c r="G147" s="70">
        <v>3.6</v>
      </c>
      <c r="H147" s="69">
        <f>PRODUCT($CV$147,$CW$147,$CX$147,$CY$147)</f>
        <v>0.83699999999999997</v>
      </c>
      <c r="I147" s="65"/>
      <c r="J147" s="65"/>
      <c r="CW147" s="8">
        <f>(15.5)</f>
        <v>15.5</v>
      </c>
      <c r="CX147" s="8">
        <f>(0.015)</f>
        <v>1.4999999999999999E-2</v>
      </c>
      <c r="CY147" s="8">
        <f>(3.6)</f>
        <v>3.6</v>
      </c>
      <c r="DF147" s="8" t="s">
        <v>514</v>
      </c>
    </row>
    <row r="148" spans="3:110" outlineLevel="1" x14ac:dyDescent="0.25">
      <c r="C148" s="5" t="s">
        <v>266</v>
      </c>
      <c r="D148" s="70"/>
      <c r="E148" s="70">
        <v>21.294</v>
      </c>
      <c r="F148" s="70">
        <v>1.4999999999999999E-2</v>
      </c>
      <c r="G148" s="70">
        <v>3.6</v>
      </c>
      <c r="H148" s="69">
        <f>PRODUCT($CV$148,$CW$148,$CX$148,$CY$148)</f>
        <v>1.1498759999999999</v>
      </c>
      <c r="I148" s="65"/>
      <c r="J148" s="65"/>
      <c r="CW148" s="8">
        <f>(21.294)</f>
        <v>21.294</v>
      </c>
      <c r="CX148" s="8">
        <f>(0.015)</f>
        <v>1.4999999999999999E-2</v>
      </c>
      <c r="CY148" s="8">
        <f>(3.6)</f>
        <v>3.6</v>
      </c>
      <c r="DF148" s="8" t="s">
        <v>514</v>
      </c>
    </row>
    <row r="149" spans="3:110" outlineLevel="1" x14ac:dyDescent="0.25">
      <c r="C149" s="5" t="s">
        <v>260</v>
      </c>
      <c r="D149" s="70"/>
      <c r="E149" s="70">
        <v>5.9610000000000003</v>
      </c>
      <c r="F149" s="70">
        <v>1.4999999999999999E-2</v>
      </c>
      <c r="G149" s="70">
        <v>3.6</v>
      </c>
      <c r="H149" s="69">
        <f>PRODUCT($CV$149,$CW$149,$CX$149,$CY$149)</f>
        <v>0.32189400000000001</v>
      </c>
      <c r="I149" s="65"/>
      <c r="J149" s="65"/>
      <c r="CW149" s="8">
        <f>(5.961)</f>
        <v>5.9610000000000003</v>
      </c>
      <c r="CX149" s="8">
        <f>(0.015)</f>
        <v>1.4999999999999999E-2</v>
      </c>
      <c r="CY149" s="8">
        <f>(3.6)</f>
        <v>3.6</v>
      </c>
      <c r="DF149" s="8" t="s">
        <v>514</v>
      </c>
    </row>
    <row r="150" spans="3:110" outlineLevel="1" x14ac:dyDescent="0.25">
      <c r="C150" s="5" t="s">
        <v>262</v>
      </c>
      <c r="D150" s="70"/>
      <c r="E150" s="70">
        <v>2.3199999999999998</v>
      </c>
      <c r="F150" s="70">
        <v>1.4999999999999999E-2</v>
      </c>
      <c r="G150" s="70">
        <v>3.6</v>
      </c>
      <c r="H150" s="69">
        <f>PRODUCT($CV$150,$CW$150,$CX$150,$CY$150)</f>
        <v>0.12528</v>
      </c>
      <c r="I150" s="65"/>
      <c r="J150" s="65"/>
      <c r="CW150" s="8">
        <f>(2.32)</f>
        <v>2.3199999999999998</v>
      </c>
      <c r="CX150" s="8">
        <f>(0.015)</f>
        <v>1.4999999999999999E-2</v>
      </c>
      <c r="CY150" s="8">
        <f>(3.6)</f>
        <v>3.6</v>
      </c>
      <c r="DF150" s="8" t="s">
        <v>514</v>
      </c>
    </row>
    <row r="151" spans="3:110" outlineLevel="1" x14ac:dyDescent="0.25">
      <c r="C151" s="5" t="s">
        <v>263</v>
      </c>
      <c r="D151" s="70"/>
      <c r="E151" s="70">
        <v>3.7269999999999999</v>
      </c>
      <c r="F151" s="70">
        <v>1.4999999999999999E-2</v>
      </c>
      <c r="G151" s="70">
        <v>3.6</v>
      </c>
      <c r="H151" s="69">
        <f>PRODUCT($CV$151,$CW$151,$CX$151,$CY$151)</f>
        <v>0.20125799999999999</v>
      </c>
      <c r="I151" s="65"/>
      <c r="J151" s="65"/>
      <c r="CW151" s="8">
        <f>(3.727)</f>
        <v>3.7269999999999999</v>
      </c>
      <c r="CX151" s="8">
        <f>(0.015)</f>
        <v>1.4999999999999999E-2</v>
      </c>
      <c r="CY151" s="8">
        <f>(3.6)</f>
        <v>3.6</v>
      </c>
      <c r="DF151" s="8" t="s">
        <v>514</v>
      </c>
    </row>
    <row r="152" spans="3:110" outlineLevel="1" x14ac:dyDescent="0.25">
      <c r="C152" s="5" t="s">
        <v>261</v>
      </c>
      <c r="D152" s="70"/>
      <c r="E152" s="70">
        <v>2.1800000000000002</v>
      </c>
      <c r="F152" s="70">
        <v>1.4999999999999999E-2</v>
      </c>
      <c r="G152" s="70">
        <v>3.6</v>
      </c>
      <c r="H152" s="69">
        <f>PRODUCT($CV$152,$CW$152,$CX$152,$CY$152)</f>
        <v>0.11772000000000001</v>
      </c>
      <c r="I152" s="65"/>
      <c r="J152" s="65"/>
      <c r="CW152" s="8">
        <f>(2.18)</f>
        <v>2.1800000000000002</v>
      </c>
      <c r="CX152" s="8">
        <f>(0.015)</f>
        <v>1.4999999999999999E-2</v>
      </c>
      <c r="CY152" s="8">
        <f>(3.6)</f>
        <v>3.6</v>
      </c>
      <c r="DF152" s="8" t="s">
        <v>514</v>
      </c>
    </row>
    <row r="153" spans="3:110" outlineLevel="1" x14ac:dyDescent="0.25">
      <c r="C153" s="5" t="s">
        <v>259</v>
      </c>
      <c r="D153" s="70"/>
      <c r="E153" s="70">
        <v>11.39</v>
      </c>
      <c r="F153" s="70">
        <v>1.4999999999999999E-2</v>
      </c>
      <c r="G153" s="70">
        <v>3.6</v>
      </c>
      <c r="H153" s="69">
        <f>PRODUCT($CV$153,$CW$153,$CX$153,$CY$153)</f>
        <v>0.61506000000000005</v>
      </c>
      <c r="I153" s="65"/>
      <c r="J153" s="65"/>
      <c r="CW153" s="8">
        <f>(11.39)</f>
        <v>11.39</v>
      </c>
      <c r="CX153" s="8">
        <f>(0.015)</f>
        <v>1.4999999999999999E-2</v>
      </c>
      <c r="CY153" s="8">
        <f>(3.6)</f>
        <v>3.6</v>
      </c>
      <c r="DF153" s="8" t="s">
        <v>514</v>
      </c>
    </row>
    <row r="154" spans="3:110" outlineLevel="1" x14ac:dyDescent="0.25">
      <c r="C154" s="5" t="s">
        <v>247</v>
      </c>
      <c r="D154" s="70"/>
      <c r="E154" s="70">
        <v>15.333</v>
      </c>
      <c r="F154" s="70">
        <v>1.4999999999999999E-2</v>
      </c>
      <c r="G154" s="70">
        <v>3.6</v>
      </c>
      <c r="H154" s="69">
        <f>PRODUCT($CV$154,$CW$154,$CX$154,$CY$154)</f>
        <v>0.827982</v>
      </c>
      <c r="I154" s="65"/>
      <c r="J154" s="65"/>
      <c r="CW154" s="8">
        <f>(15.333)</f>
        <v>15.333</v>
      </c>
      <c r="CX154" s="8">
        <f>(0.015)</f>
        <v>1.4999999999999999E-2</v>
      </c>
      <c r="CY154" s="8">
        <f>(3.6)</f>
        <v>3.6</v>
      </c>
      <c r="DF154" s="8" t="s">
        <v>514</v>
      </c>
    </row>
    <row r="155" spans="3:110" outlineLevel="1" x14ac:dyDescent="0.25">
      <c r="C155" s="5" t="s">
        <v>251</v>
      </c>
      <c r="D155" s="70"/>
      <c r="E155" s="70">
        <v>3.85</v>
      </c>
      <c r="F155" s="70">
        <v>1.4999999999999999E-2</v>
      </c>
      <c r="G155" s="70">
        <v>3.6</v>
      </c>
      <c r="H155" s="69">
        <f>PRODUCT($CV$155,$CW$155,$CX$155,$CY$155)</f>
        <v>0.2079</v>
      </c>
      <c r="I155" s="65"/>
      <c r="J155" s="65"/>
      <c r="CW155" s="8">
        <f>(3.85)</f>
        <v>3.85</v>
      </c>
      <c r="CX155" s="8">
        <f>(0.015)</f>
        <v>1.4999999999999999E-2</v>
      </c>
      <c r="CY155" s="8">
        <f>(3.6)</f>
        <v>3.6</v>
      </c>
      <c r="DF155" s="8" t="s">
        <v>514</v>
      </c>
    </row>
    <row r="156" spans="3:110" outlineLevel="1" x14ac:dyDescent="0.25">
      <c r="C156" s="5" t="s">
        <v>254</v>
      </c>
      <c r="D156" s="70"/>
      <c r="E156" s="70">
        <v>3.85</v>
      </c>
      <c r="F156" s="70">
        <v>1.4999999999999999E-2</v>
      </c>
      <c r="G156" s="70">
        <v>3.6</v>
      </c>
      <c r="H156" s="69">
        <f>PRODUCT($CV$156,$CW$156,$CX$156,$CY$156)</f>
        <v>0.2079</v>
      </c>
      <c r="I156" s="65"/>
      <c r="J156" s="65"/>
      <c r="CW156" s="8">
        <f>(3.85)</f>
        <v>3.85</v>
      </c>
      <c r="CX156" s="8">
        <f>(0.015)</f>
        <v>1.4999999999999999E-2</v>
      </c>
      <c r="CY156" s="8">
        <f>(3.6)</f>
        <v>3.6</v>
      </c>
      <c r="DF156" s="8" t="s">
        <v>514</v>
      </c>
    </row>
    <row r="157" spans="3:110" outlineLevel="1" x14ac:dyDescent="0.25">
      <c r="C157" s="5" t="s">
        <v>249</v>
      </c>
      <c r="D157" s="70"/>
      <c r="E157" s="70">
        <v>3.85</v>
      </c>
      <c r="F157" s="70">
        <v>1.4999999999999999E-2</v>
      </c>
      <c r="G157" s="70">
        <v>3.6</v>
      </c>
      <c r="H157" s="69">
        <f>PRODUCT($CV$157,$CW$157,$CX$157,$CY$157)</f>
        <v>0.2079</v>
      </c>
      <c r="I157" s="65"/>
      <c r="J157" s="65"/>
      <c r="CW157" s="8">
        <f>(3.85)</f>
        <v>3.85</v>
      </c>
      <c r="CX157" s="8">
        <f>(0.015)</f>
        <v>1.4999999999999999E-2</v>
      </c>
      <c r="CY157" s="8">
        <f>(3.6)</f>
        <v>3.6</v>
      </c>
      <c r="DF157" s="8" t="s">
        <v>514</v>
      </c>
    </row>
    <row r="158" spans="3:110" outlineLevel="1" x14ac:dyDescent="0.25">
      <c r="C158" s="5" t="s">
        <v>248</v>
      </c>
      <c r="D158" s="70"/>
      <c r="E158" s="70">
        <v>5.907</v>
      </c>
      <c r="F158" s="70">
        <v>1.4999999999999999E-2</v>
      </c>
      <c r="G158" s="70">
        <v>3.6</v>
      </c>
      <c r="H158" s="69">
        <f>PRODUCT($CV$158,$CW$158,$CX$158,$CY$158)</f>
        <v>0.31897800000000004</v>
      </c>
      <c r="I158" s="65"/>
      <c r="J158" s="65"/>
      <c r="CW158" s="8">
        <f>(5.907)</f>
        <v>5.907</v>
      </c>
      <c r="CX158" s="8">
        <f>(0.015)</f>
        <v>1.4999999999999999E-2</v>
      </c>
      <c r="CY158" s="8">
        <f>(3.6)</f>
        <v>3.6</v>
      </c>
      <c r="DF158" s="8" t="s">
        <v>514</v>
      </c>
    </row>
    <row r="159" spans="3:110" outlineLevel="1" x14ac:dyDescent="0.25">
      <c r="C159" s="5" t="s">
        <v>252</v>
      </c>
      <c r="D159" s="70"/>
      <c r="E159" s="70">
        <v>3.71</v>
      </c>
      <c r="F159" s="70">
        <v>1.4999999999999999E-2</v>
      </c>
      <c r="G159" s="70">
        <v>3.6</v>
      </c>
      <c r="H159" s="69">
        <f>PRODUCT($CV$159,$CW$159,$CX$159,$CY$159)</f>
        <v>0.20033999999999999</v>
      </c>
      <c r="I159" s="65"/>
      <c r="J159" s="65"/>
      <c r="CW159" s="8">
        <f>(3.71)</f>
        <v>3.71</v>
      </c>
      <c r="CX159" s="8">
        <f>(0.015)</f>
        <v>1.4999999999999999E-2</v>
      </c>
      <c r="CY159" s="8">
        <f>(3.6)</f>
        <v>3.6</v>
      </c>
      <c r="DF159" s="8" t="s">
        <v>514</v>
      </c>
    </row>
    <row r="160" spans="3:110" outlineLevel="1" x14ac:dyDescent="0.25">
      <c r="C160" s="5" t="s">
        <v>246</v>
      </c>
      <c r="D160" s="70"/>
      <c r="E160" s="70">
        <v>3</v>
      </c>
      <c r="F160" s="70">
        <v>1.4999999999999999E-2</v>
      </c>
      <c r="G160" s="70">
        <v>3.6</v>
      </c>
      <c r="H160" s="69">
        <f>PRODUCT($CV$160,$CW$160,$CX$160,$CY$160)</f>
        <v>0.16200000000000001</v>
      </c>
      <c r="I160" s="65"/>
      <c r="J160" s="65"/>
      <c r="CW160" s="8">
        <f>(3)</f>
        <v>3</v>
      </c>
      <c r="CX160" s="8">
        <f>(0.015)</f>
        <v>1.4999999999999999E-2</v>
      </c>
      <c r="CY160" s="8">
        <f>(3.6)</f>
        <v>3.6</v>
      </c>
      <c r="DF160" s="8" t="s">
        <v>514</v>
      </c>
    </row>
    <row r="161" spans="1:110" outlineLevel="1" x14ac:dyDescent="0.25">
      <c r="C161" s="5" t="s">
        <v>253</v>
      </c>
      <c r="D161" s="70"/>
      <c r="E161" s="70">
        <v>3.85</v>
      </c>
      <c r="F161" s="70">
        <v>1.4999999999999999E-2</v>
      </c>
      <c r="G161" s="70">
        <v>3.6</v>
      </c>
      <c r="H161" s="69">
        <f>PRODUCT($CV$161,$CW$161,$CX$161,$CY$161)</f>
        <v>0.2079</v>
      </c>
      <c r="I161" s="65"/>
      <c r="J161" s="65"/>
      <c r="CW161" s="8">
        <f>(3.85)</f>
        <v>3.85</v>
      </c>
      <c r="CX161" s="8">
        <f>(0.015)</f>
        <v>1.4999999999999999E-2</v>
      </c>
      <c r="CY161" s="8">
        <f>(3.6)</f>
        <v>3.6</v>
      </c>
      <c r="DF161" s="8" t="s">
        <v>514</v>
      </c>
    </row>
    <row r="162" spans="1:110" outlineLevel="1" x14ac:dyDescent="0.25">
      <c r="C162" s="5" t="s">
        <v>250</v>
      </c>
      <c r="D162" s="70"/>
      <c r="E162" s="70">
        <v>1.65</v>
      </c>
      <c r="F162" s="70">
        <v>1.4999999999999999E-2</v>
      </c>
      <c r="G162" s="70">
        <v>3.6</v>
      </c>
      <c r="H162" s="69">
        <f>PRODUCT($CV$162,$CW$162,$CX$162,$CY$162)</f>
        <v>8.9099999999999999E-2</v>
      </c>
      <c r="I162" s="65"/>
      <c r="J162" s="65"/>
      <c r="CW162" s="8">
        <f>(1.65)</f>
        <v>1.65</v>
      </c>
      <c r="CX162" s="8">
        <f>(0.015)</f>
        <v>1.4999999999999999E-2</v>
      </c>
      <c r="CY162" s="8">
        <f>(3.6)</f>
        <v>3.6</v>
      </c>
      <c r="DF162" s="8" t="s">
        <v>514</v>
      </c>
    </row>
    <row r="163" spans="1:110" outlineLevel="1" x14ac:dyDescent="0.25">
      <c r="C163" s="5" t="s">
        <v>255</v>
      </c>
      <c r="D163" s="70"/>
      <c r="E163" s="70">
        <v>1.262</v>
      </c>
      <c r="F163" s="70">
        <v>1.4999999999999999E-2</v>
      </c>
      <c r="G163" s="70">
        <v>3.6</v>
      </c>
      <c r="H163" s="69">
        <f>PRODUCT($CV$163,$CW$163,$CX$163,$CY$163)</f>
        <v>6.8148E-2</v>
      </c>
      <c r="I163" s="65"/>
      <c r="J163" s="65"/>
      <c r="CW163" s="8">
        <f>(1.262)</f>
        <v>1.262</v>
      </c>
      <c r="CX163" s="8">
        <f>(0.015)</f>
        <v>1.4999999999999999E-2</v>
      </c>
      <c r="CY163" s="8">
        <f>(3.6)</f>
        <v>3.6</v>
      </c>
      <c r="DF163" s="8" t="s">
        <v>514</v>
      </c>
    </row>
    <row r="164" spans="1:110" outlineLevel="1" x14ac:dyDescent="0.25">
      <c r="C164" s="5" t="s">
        <v>256</v>
      </c>
      <c r="D164" s="70"/>
      <c r="E164" s="70">
        <v>3.6920000000000002</v>
      </c>
      <c r="F164" s="70">
        <v>1.4999999999999999E-2</v>
      </c>
      <c r="G164" s="70">
        <v>3.6</v>
      </c>
      <c r="H164" s="69">
        <f>PRODUCT($CV$164,$CW$164,$CX$164,$CY$164)</f>
        <v>0.19936799999999999</v>
      </c>
      <c r="I164" s="65"/>
      <c r="J164" s="65"/>
      <c r="CW164" s="8">
        <f>(3.692)</f>
        <v>3.6920000000000002</v>
      </c>
      <c r="CX164" s="8">
        <f>(0.015)</f>
        <v>1.4999999999999999E-2</v>
      </c>
      <c r="CY164" s="8">
        <f>(3.6)</f>
        <v>3.6</v>
      </c>
      <c r="DF164" s="8" t="s">
        <v>514</v>
      </c>
    </row>
    <row r="165" spans="1:110" outlineLevel="1" x14ac:dyDescent="0.25">
      <c r="C165" s="5" t="s">
        <v>258</v>
      </c>
      <c r="D165" s="70"/>
      <c r="E165" s="70">
        <v>3.8679999999999999</v>
      </c>
      <c r="F165" s="70">
        <v>1.4999999999999999E-2</v>
      </c>
      <c r="G165" s="70">
        <v>3.6</v>
      </c>
      <c r="H165" s="69">
        <f>PRODUCT($CV$165,$CW$165,$CX$165,$CY$165)</f>
        <v>0.20887199999999997</v>
      </c>
      <c r="I165" s="65"/>
      <c r="J165" s="65"/>
      <c r="CW165" s="8">
        <f>(3.868)</f>
        <v>3.8679999999999999</v>
      </c>
      <c r="CX165" s="8">
        <f>(0.015)</f>
        <v>1.4999999999999999E-2</v>
      </c>
      <c r="CY165" s="8">
        <f>(3.6)</f>
        <v>3.6</v>
      </c>
      <c r="DF165" s="8" t="s">
        <v>514</v>
      </c>
    </row>
    <row r="166" spans="1:110" outlineLevel="1" x14ac:dyDescent="0.25">
      <c r="C166" s="5" t="s">
        <v>257</v>
      </c>
      <c r="D166" s="70"/>
      <c r="E166" s="70">
        <v>1.4370000000000001</v>
      </c>
      <c r="F166" s="70">
        <v>1.4999999999999999E-2</v>
      </c>
      <c r="G166" s="70">
        <v>3.6</v>
      </c>
      <c r="H166" s="69">
        <f>PRODUCT($CV$166,$CW$166,$CX$166,$CY$166)</f>
        <v>7.7598E-2</v>
      </c>
      <c r="I166" s="65"/>
      <c r="J166" s="65"/>
      <c r="CW166" s="8">
        <f>(1.437)</f>
        <v>1.4370000000000001</v>
      </c>
      <c r="CX166" s="8">
        <f>(0.015)</f>
        <v>1.4999999999999999E-2</v>
      </c>
      <c r="CY166" s="8">
        <f>(3.6)</f>
        <v>3.6</v>
      </c>
      <c r="DF166" s="8" t="s">
        <v>514</v>
      </c>
    </row>
    <row r="167" spans="1:110" ht="31.5" outlineLevel="1" x14ac:dyDescent="0.25">
      <c r="A167" s="61"/>
      <c r="B167" s="62"/>
      <c r="C167" s="63" t="s">
        <v>268</v>
      </c>
      <c r="D167" s="71">
        <v>1</v>
      </c>
      <c r="E167" s="71">
        <v>0.9</v>
      </c>
      <c r="F167" s="71">
        <v>1.4999999999999999E-2</v>
      </c>
      <c r="G167" s="71">
        <v>1.5</v>
      </c>
      <c r="H167" s="72">
        <f>PRODUCT($CV$167,$CW$167,$CX$167,$CY$167) * -1</f>
        <v>-2.0250000000000001E-2</v>
      </c>
      <c r="I167" s="65"/>
      <c r="J167" s="65"/>
      <c r="CV167" s="8">
        <f>(1)</f>
        <v>1</v>
      </c>
      <c r="CW167" s="8">
        <f>(0.9)</f>
        <v>0.9</v>
      </c>
      <c r="CX167" s="8">
        <f>(0.015)</f>
        <v>1.4999999999999999E-2</v>
      </c>
      <c r="CY167" s="8">
        <f>(1.5)</f>
        <v>1.5</v>
      </c>
      <c r="DF167" s="8" t="s">
        <v>514</v>
      </c>
    </row>
    <row r="168" spans="1:110" ht="31.5" outlineLevel="1" x14ac:dyDescent="0.25">
      <c r="A168" s="61"/>
      <c r="B168" s="62"/>
      <c r="C168" s="63" t="s">
        <v>269</v>
      </c>
      <c r="D168" s="71">
        <v>1</v>
      </c>
      <c r="E168" s="71">
        <v>0.9</v>
      </c>
      <c r="F168" s="71">
        <v>1.4999999999999999E-2</v>
      </c>
      <c r="G168" s="71">
        <v>1.5</v>
      </c>
      <c r="H168" s="72">
        <f>PRODUCT($CV$168,$CW$168,$CX$168,$CY$168) * -1</f>
        <v>-2.0250000000000001E-2</v>
      </c>
      <c r="I168" s="65"/>
      <c r="J168" s="65"/>
      <c r="CV168" s="8">
        <f>(1)</f>
        <v>1</v>
      </c>
      <c r="CW168" s="8">
        <f>(0.9)</f>
        <v>0.9</v>
      </c>
      <c r="CX168" s="8">
        <f>(0.015)</f>
        <v>1.4999999999999999E-2</v>
      </c>
      <c r="CY168" s="8">
        <f>(1.5)</f>
        <v>1.5</v>
      </c>
      <c r="DF168" s="8" t="s">
        <v>514</v>
      </c>
    </row>
    <row r="169" spans="1:110" ht="31.5" outlineLevel="1" x14ac:dyDescent="0.25">
      <c r="A169" s="61"/>
      <c r="B169" s="62"/>
      <c r="C169" s="63" t="s">
        <v>267</v>
      </c>
      <c r="D169" s="71">
        <v>1</v>
      </c>
      <c r="E169" s="71">
        <v>0.9</v>
      </c>
      <c r="F169" s="71">
        <v>1.4999999999999999E-2</v>
      </c>
      <c r="G169" s="71">
        <v>1.5</v>
      </c>
      <c r="H169" s="72">
        <f>PRODUCT($CV$169,$CW$169,$CX$169,$CY$169) * -1</f>
        <v>-2.0250000000000001E-2</v>
      </c>
      <c r="I169" s="65"/>
      <c r="J169" s="65"/>
      <c r="CV169" s="8">
        <f>(1)</f>
        <v>1</v>
      </c>
      <c r="CW169" s="8">
        <f>(0.9)</f>
        <v>0.9</v>
      </c>
      <c r="CX169" s="8">
        <f>(0.015)</f>
        <v>1.4999999999999999E-2</v>
      </c>
      <c r="CY169" s="8">
        <f>(1.5)</f>
        <v>1.5</v>
      </c>
      <c r="DF169" s="8" t="s">
        <v>514</v>
      </c>
    </row>
    <row r="170" spans="1:110" ht="31.5" outlineLevel="1" x14ac:dyDescent="0.25">
      <c r="A170" s="61"/>
      <c r="B170" s="62"/>
      <c r="C170" s="63" t="s">
        <v>270</v>
      </c>
      <c r="D170" s="71"/>
      <c r="E170" s="71">
        <v>1</v>
      </c>
      <c r="F170" s="71">
        <v>1.4999999999999999E-2</v>
      </c>
      <c r="G170" s="71">
        <v>2.1</v>
      </c>
      <c r="H170" s="72">
        <f>PRODUCT($CV$170,$CW$170,$CX$170,$CY$170) * -1</f>
        <v>-3.15E-2</v>
      </c>
      <c r="I170" s="65"/>
      <c r="J170" s="65"/>
      <c r="CW170" s="8">
        <f>(1)</f>
        <v>1</v>
      </c>
      <c r="CX170" s="8">
        <f>(0.015)</f>
        <v>1.4999999999999999E-2</v>
      </c>
      <c r="CY170" s="8">
        <f>(2.1)</f>
        <v>2.1</v>
      </c>
      <c r="DF170" s="8" t="s">
        <v>514</v>
      </c>
    </row>
    <row r="171" spans="1:110" ht="31.5" outlineLevel="1" x14ac:dyDescent="0.25">
      <c r="A171" s="61"/>
      <c r="B171" s="62"/>
      <c r="C171" s="63" t="s">
        <v>271</v>
      </c>
      <c r="D171" s="71"/>
      <c r="E171" s="71">
        <v>2</v>
      </c>
      <c r="F171" s="71">
        <v>1.4999999999999999E-2</v>
      </c>
      <c r="G171" s="71">
        <v>2.5099999999999998</v>
      </c>
      <c r="H171" s="72">
        <f>PRODUCT($CV$171,$CW$171,$CX$171,$CY$171) * -1</f>
        <v>-7.5299999999999992E-2</v>
      </c>
      <c r="I171" s="65"/>
      <c r="J171" s="65"/>
      <c r="CW171" s="8">
        <f>(2)</f>
        <v>2</v>
      </c>
      <c r="CX171" s="8">
        <f>(0.015)</f>
        <v>1.4999999999999999E-2</v>
      </c>
      <c r="CY171" s="8">
        <f>(2.51)</f>
        <v>2.5099999999999998</v>
      </c>
      <c r="DF171" s="8" t="s">
        <v>514</v>
      </c>
    </row>
    <row r="172" spans="1:110" ht="31.5" outlineLevel="1" x14ac:dyDescent="0.25">
      <c r="A172" s="61"/>
      <c r="B172" s="62"/>
      <c r="C172" s="63" t="s">
        <v>272</v>
      </c>
      <c r="D172" s="71"/>
      <c r="E172" s="71">
        <v>1.5</v>
      </c>
      <c r="F172" s="71">
        <v>1.4999999999999999E-2</v>
      </c>
      <c r="G172" s="71">
        <v>2.5099999999999998</v>
      </c>
      <c r="H172" s="72">
        <f>PRODUCT($CV$172,$CW$172,$CX$172,$CY$172) * -1</f>
        <v>-5.647499999999999E-2</v>
      </c>
      <c r="I172" s="65"/>
      <c r="J172" s="65"/>
      <c r="CW172" s="8">
        <f>(1.5)</f>
        <v>1.5</v>
      </c>
      <c r="CX172" s="8">
        <f>(0.015)</f>
        <v>1.4999999999999999E-2</v>
      </c>
      <c r="CY172" s="8">
        <f>(2.51)</f>
        <v>2.5099999999999998</v>
      </c>
      <c r="DF172" s="8" t="s">
        <v>514</v>
      </c>
    </row>
    <row r="173" spans="1:110" x14ac:dyDescent="0.25">
      <c r="C173" s="60" t="str">
        <f>CONCATENATE("SOMMANO " &amp; 'Elenco Prezzi'!$C$19)</f>
        <v>SOMMANO m3</v>
      </c>
      <c r="D173" s="70"/>
      <c r="E173" s="70"/>
      <c r="F173" s="70"/>
      <c r="G173" s="70"/>
      <c r="H173" s="69">
        <f>SUM($H$146:$H$172)</f>
        <v>6.7503990000000016</v>
      </c>
      <c r="I173" s="65">
        <f>('Elenco Prezzi'!$D$19)</f>
        <v>8</v>
      </c>
      <c r="J173" s="65">
        <f>PRODUCT($H$173,$I$173)</f>
        <v>54.003192000000013</v>
      </c>
      <c r="DF173" s="8" t="s">
        <v>514</v>
      </c>
    </row>
    <row r="174" spans="1:110" ht="31.5" x14ac:dyDescent="0.25">
      <c r="A174" s="3">
        <v>12</v>
      </c>
      <c r="B174" s="56" t="str">
        <f>('Elenco Prezzi'!$A$22)</f>
        <v>100.106</v>
      </c>
      <c r="C174" s="23" t="str">
        <f>('Elenco Prezzi'!$B$22)</f>
        <v>Laterizio per pavimento</v>
      </c>
      <c r="D174" s="70"/>
      <c r="E174" s="70"/>
      <c r="F174" s="70"/>
      <c r="G174" s="70"/>
      <c r="H174" s="69"/>
      <c r="I174" s="65"/>
      <c r="J174" s="65"/>
      <c r="K174" s="58" t="s">
        <v>231</v>
      </c>
      <c r="L174" s="58" t="s">
        <v>232</v>
      </c>
      <c r="M174" s="58" t="s">
        <v>233</v>
      </c>
      <c r="N174" s="58" t="s">
        <v>234</v>
      </c>
      <c r="DF174" s="8" t="s">
        <v>514</v>
      </c>
    </row>
    <row r="175" spans="1:110" hidden="1" outlineLevel="1" x14ac:dyDescent="0.25">
      <c r="C175" s="57" t="str">
        <f>('Elenco Prezzi'!$B$23)</f>
        <v>Laterizio per pavimento</v>
      </c>
      <c r="D175" s="70"/>
      <c r="E175" s="70"/>
      <c r="F175" s="70"/>
      <c r="G175" s="70"/>
      <c r="H175" s="69"/>
      <c r="I175" s="65"/>
      <c r="J175" s="65"/>
      <c r="DF175" s="8" t="s">
        <v>514</v>
      </c>
    </row>
    <row r="176" spans="1:110" hidden="1" outlineLevel="1" x14ac:dyDescent="0.25">
      <c r="C176" s="57" t="str">
        <f>('Elenco Prezzi'!$B$24)</f>
        <v>Laterizio per pavimento</v>
      </c>
      <c r="D176" s="70"/>
      <c r="E176" s="70"/>
      <c r="F176" s="70"/>
      <c r="G176" s="70"/>
      <c r="H176" s="69"/>
      <c r="I176" s="65"/>
      <c r="J176" s="65"/>
      <c r="DF176" s="8" t="s">
        <v>514</v>
      </c>
    </row>
    <row r="177" spans="1:110" outlineLevel="1" x14ac:dyDescent="0.25">
      <c r="C177" s="59" t="s">
        <v>235</v>
      </c>
      <c r="D177" s="70"/>
      <c r="E177" s="70"/>
      <c r="F177" s="70"/>
      <c r="G177" s="70"/>
      <c r="H177" s="69"/>
      <c r="I177" s="65"/>
      <c r="J177" s="65"/>
      <c r="DF177" s="8" t="s">
        <v>514</v>
      </c>
    </row>
    <row r="178" spans="1:110" ht="31.5" outlineLevel="1" x14ac:dyDescent="0.25">
      <c r="C178" s="5" t="s">
        <v>236</v>
      </c>
      <c r="D178" s="70">
        <v>341.392</v>
      </c>
      <c r="E178" s="70"/>
      <c r="F178" s="70"/>
      <c r="G178" s="70">
        <v>0.16</v>
      </c>
      <c r="H178" s="69">
        <f>PRODUCT($CV$178,$CW$178,$CX$178,$CY$178)</f>
        <v>54.622720000000001</v>
      </c>
      <c r="I178" s="65"/>
      <c r="J178" s="65"/>
      <c r="CV178" s="8">
        <f>(341.392)</f>
        <v>341.392</v>
      </c>
      <c r="CY178" s="8">
        <f>(0.16)</f>
        <v>0.16</v>
      </c>
      <c r="DF178" s="8" t="s">
        <v>514</v>
      </c>
    </row>
    <row r="179" spans="1:110" x14ac:dyDescent="0.25">
      <c r="C179" s="60" t="str">
        <f>CONCATENATE("SOMMANO " &amp; 'Elenco Prezzi'!$C$22)</f>
        <v>SOMMANO m3</v>
      </c>
      <c r="D179" s="70"/>
      <c r="E179" s="70"/>
      <c r="F179" s="70"/>
      <c r="G179" s="70"/>
      <c r="H179" s="69">
        <f>SUM($H$178:$H$178)</f>
        <v>54.622720000000001</v>
      </c>
      <c r="I179" s="65">
        <f>('Elenco Prezzi'!$D$22)</f>
        <v>13</v>
      </c>
      <c r="J179" s="65">
        <f>PRODUCT($H$179,$I$179)</f>
        <v>710.09536000000003</v>
      </c>
      <c r="DF179" s="8" t="s">
        <v>514</v>
      </c>
    </row>
    <row r="180" spans="1:110" ht="31.5" x14ac:dyDescent="0.25">
      <c r="A180" s="3">
        <v>13</v>
      </c>
      <c r="B180" s="56" t="str">
        <f>('Elenco Prezzi'!$A$22)</f>
        <v>100.106</v>
      </c>
      <c r="C180" s="23" t="str">
        <f>('Elenco Prezzi'!$B$22)</f>
        <v>Laterizio per pavimento</v>
      </c>
      <c r="D180" s="70"/>
      <c r="E180" s="70"/>
      <c r="F180" s="70"/>
      <c r="G180" s="70"/>
      <c r="H180" s="69"/>
      <c r="I180" s="65"/>
      <c r="J180" s="65"/>
      <c r="K180" s="58" t="s">
        <v>237</v>
      </c>
      <c r="L180" s="58" t="s">
        <v>232</v>
      </c>
      <c r="M180" s="58" t="s">
        <v>233</v>
      </c>
      <c r="N180" s="58" t="s">
        <v>234</v>
      </c>
      <c r="DF180" s="8" t="s">
        <v>514</v>
      </c>
    </row>
    <row r="181" spans="1:110" hidden="1" outlineLevel="1" x14ac:dyDescent="0.25">
      <c r="C181" s="57" t="str">
        <f>('Elenco Prezzi'!$B$23)</f>
        <v>Laterizio per pavimento</v>
      </c>
      <c r="D181" s="70"/>
      <c r="E181" s="70"/>
      <c r="F181" s="70"/>
      <c r="G181" s="70"/>
      <c r="H181" s="69"/>
      <c r="I181" s="65"/>
      <c r="J181" s="65"/>
      <c r="DF181" s="8" t="s">
        <v>514</v>
      </c>
    </row>
    <row r="182" spans="1:110" hidden="1" outlineLevel="1" x14ac:dyDescent="0.25">
      <c r="C182" s="57" t="str">
        <f>('Elenco Prezzi'!$B$24)</f>
        <v>Laterizio per pavimento</v>
      </c>
      <c r="D182" s="70"/>
      <c r="E182" s="70"/>
      <c r="F182" s="70"/>
      <c r="G182" s="70"/>
      <c r="H182" s="69"/>
      <c r="I182" s="65"/>
      <c r="J182" s="65"/>
      <c r="DF182" s="8" t="s">
        <v>514</v>
      </c>
    </row>
    <row r="183" spans="1:110" outlineLevel="1" x14ac:dyDescent="0.25">
      <c r="C183" s="59" t="s">
        <v>235</v>
      </c>
      <c r="D183" s="70"/>
      <c r="E183" s="70"/>
      <c r="F183" s="70"/>
      <c r="G183" s="70"/>
      <c r="H183" s="69"/>
      <c r="I183" s="65"/>
      <c r="J183" s="65"/>
      <c r="DF183" s="8" t="s">
        <v>514</v>
      </c>
    </row>
    <row r="184" spans="1:110" ht="31.5" outlineLevel="1" x14ac:dyDescent="0.25">
      <c r="C184" s="5" t="s">
        <v>238</v>
      </c>
      <c r="D184" s="70">
        <v>341.392</v>
      </c>
      <c r="E184" s="70"/>
      <c r="F184" s="70"/>
      <c r="G184" s="70">
        <v>0.16</v>
      </c>
      <c r="H184" s="69">
        <f>PRODUCT($CV$184,$CW$184,$CX$184,$CY$184)</f>
        <v>54.622720000000001</v>
      </c>
      <c r="I184" s="65"/>
      <c r="J184" s="65"/>
      <c r="CV184" s="8">
        <f>(341.392)</f>
        <v>341.392</v>
      </c>
      <c r="CY184" s="8">
        <f>(0.16)</f>
        <v>0.16</v>
      </c>
      <c r="DF184" s="8" t="s">
        <v>514</v>
      </c>
    </row>
    <row r="185" spans="1:110" x14ac:dyDescent="0.25">
      <c r="C185" s="60" t="str">
        <f>CONCATENATE("SOMMANO " &amp; 'Elenco Prezzi'!$C$22)</f>
        <v>SOMMANO m3</v>
      </c>
      <c r="D185" s="70"/>
      <c r="E185" s="70"/>
      <c r="F185" s="70"/>
      <c r="G185" s="70"/>
      <c r="H185" s="69">
        <f>SUM($H$184:$H$184)</f>
        <v>54.622720000000001</v>
      </c>
      <c r="I185" s="65">
        <f>('Elenco Prezzi'!$D$22)</f>
        <v>13</v>
      </c>
      <c r="J185" s="65">
        <f>PRODUCT($H$185,$I$185)</f>
        <v>710.09536000000003</v>
      </c>
      <c r="DF185" s="8" t="s">
        <v>514</v>
      </c>
    </row>
    <row r="186" spans="1:110" ht="31.5" x14ac:dyDescent="0.25">
      <c r="A186" s="3">
        <v>14</v>
      </c>
      <c r="B186" s="56" t="str">
        <f>('Elenco Prezzi'!$A$25)</f>
        <v>100.110</v>
      </c>
      <c r="C186" s="23" t="str">
        <f>('Elenco Prezzi'!$B$25)</f>
        <v>Tinteggiatura con idropittura traspirante escluse da detrazioni superbonus 110%</v>
      </c>
      <c r="D186" s="70"/>
      <c r="E186" s="70"/>
      <c r="F186" s="70"/>
      <c r="G186" s="70"/>
      <c r="H186" s="69"/>
      <c r="I186" s="65"/>
      <c r="J186" s="65"/>
      <c r="K186" s="58" t="s">
        <v>277</v>
      </c>
      <c r="L186" s="58" t="s">
        <v>278</v>
      </c>
      <c r="M186" s="58" t="s">
        <v>279</v>
      </c>
      <c r="N186" s="58" t="s">
        <v>234</v>
      </c>
      <c r="DF186" s="8" t="s">
        <v>514</v>
      </c>
    </row>
    <row r="187" spans="1:110" ht="31.5" hidden="1" outlineLevel="1" x14ac:dyDescent="0.25">
      <c r="C187" s="57" t="str">
        <f>('Elenco Prezzi'!$B$26)</f>
        <v>Tinteggiatura con idropittura traspirante escluse da detrazioni superbonus 110%</v>
      </c>
      <c r="D187" s="70"/>
      <c r="E187" s="70"/>
      <c r="F187" s="70"/>
      <c r="G187" s="70"/>
      <c r="H187" s="69"/>
      <c r="I187" s="65"/>
      <c r="J187" s="65"/>
      <c r="DF187" s="8" t="s">
        <v>514</v>
      </c>
    </row>
    <row r="188" spans="1:110" ht="47.25" hidden="1" outlineLevel="1" x14ac:dyDescent="0.25">
      <c r="C188" s="57" t="str">
        <f>('Elenco Prezzi'!$B$27)</f>
        <v>Tinteggiatura con idropittura di superfici a tre mani a coprire, esclusa la preparazione delle stesse: su superfici esterne: con idropittura traspirante escluse da detrazioni</v>
      </c>
      <c r="D188" s="70"/>
      <c r="E188" s="70"/>
      <c r="F188" s="70"/>
      <c r="G188" s="70"/>
      <c r="H188" s="69"/>
      <c r="I188" s="65"/>
      <c r="J188" s="65"/>
      <c r="DF188" s="8" t="s">
        <v>514</v>
      </c>
    </row>
    <row r="189" spans="1:110" outlineLevel="1" x14ac:dyDescent="0.25">
      <c r="C189" s="59" t="s">
        <v>235</v>
      </c>
      <c r="D189" s="70"/>
      <c r="E189" s="70"/>
      <c r="F189" s="70"/>
      <c r="G189" s="70"/>
      <c r="H189" s="69"/>
      <c r="I189" s="65"/>
      <c r="J189" s="65"/>
      <c r="DF189" s="8" t="s">
        <v>514</v>
      </c>
    </row>
    <row r="190" spans="1:110" ht="31.5" outlineLevel="1" x14ac:dyDescent="0.25">
      <c r="C190" s="5" t="s">
        <v>280</v>
      </c>
      <c r="D190" s="70"/>
      <c r="E190" s="70"/>
      <c r="F190" s="70"/>
      <c r="G190" s="70"/>
      <c r="H190" s="69"/>
      <c r="I190" s="65"/>
      <c r="J190" s="65"/>
      <c r="DF190" s="8" t="s">
        <v>514</v>
      </c>
    </row>
    <row r="191" spans="1:110" outlineLevel="1" x14ac:dyDescent="0.25">
      <c r="C191" s="5" t="s">
        <v>240</v>
      </c>
      <c r="D191" s="70"/>
      <c r="E191" s="70">
        <v>12</v>
      </c>
      <c r="F191" s="70"/>
      <c r="G191" s="70">
        <v>3.6</v>
      </c>
      <c r="H191" s="69">
        <f>PRODUCT($CV$191,$CW$191,$CX$191,$CY$191)</f>
        <v>43.2</v>
      </c>
      <c r="I191" s="65"/>
      <c r="J191" s="65"/>
      <c r="CW191" s="8">
        <f>(12)</f>
        <v>12</v>
      </c>
      <c r="CY191" s="8">
        <f>(3.6)</f>
        <v>3.6</v>
      </c>
      <c r="DF191" s="8" t="s">
        <v>514</v>
      </c>
    </row>
    <row r="192" spans="1:110" outlineLevel="1" x14ac:dyDescent="0.25">
      <c r="C192" s="5" t="s">
        <v>242</v>
      </c>
      <c r="D192" s="70"/>
      <c r="E192" s="70">
        <v>12</v>
      </c>
      <c r="F192" s="70"/>
      <c r="G192" s="70">
        <v>3.6</v>
      </c>
      <c r="H192" s="69">
        <f>PRODUCT($CV$192,$CW$192,$CX$192,$CY$192)</f>
        <v>43.2</v>
      </c>
      <c r="I192" s="65"/>
      <c r="J192" s="65"/>
      <c r="CW192" s="8">
        <f>(12)</f>
        <v>12</v>
      </c>
      <c r="CY192" s="8">
        <f>(3.6)</f>
        <v>3.6</v>
      </c>
      <c r="DF192" s="8" t="s">
        <v>514</v>
      </c>
    </row>
    <row r="193" spans="1:110" outlineLevel="1" x14ac:dyDescent="0.25">
      <c r="C193" s="5" t="s">
        <v>241</v>
      </c>
      <c r="D193" s="70"/>
      <c r="E193" s="70">
        <v>20.405000000000001</v>
      </c>
      <c r="F193" s="70"/>
      <c r="G193" s="70">
        <v>3.6</v>
      </c>
      <c r="H193" s="69">
        <f>PRODUCT($CV$193,$CW$193,$CX$193,$CY$193)</f>
        <v>73.458000000000013</v>
      </c>
      <c r="I193" s="65"/>
      <c r="J193" s="65"/>
      <c r="CW193" s="8">
        <f>(20.405)</f>
        <v>20.405000000000001</v>
      </c>
      <c r="CY193" s="8">
        <f>(3.6)</f>
        <v>3.6</v>
      </c>
      <c r="DF193" s="8" t="s">
        <v>514</v>
      </c>
    </row>
    <row r="194" spans="1:110" x14ac:dyDescent="0.25">
      <c r="C194" s="60" t="str">
        <f>CONCATENATE("SOMMANO " &amp; 'Elenco Prezzi'!$C$25)</f>
        <v>SOMMANO m2</v>
      </c>
      <c r="D194" s="70"/>
      <c r="E194" s="70"/>
      <c r="F194" s="70"/>
      <c r="G194" s="70"/>
      <c r="H194" s="69">
        <f>SUM($H$190:$H$193)</f>
        <v>159.858</v>
      </c>
      <c r="I194" s="65">
        <f>('Elenco Prezzi'!$D$25)</f>
        <v>3.81</v>
      </c>
      <c r="J194" s="65">
        <f>PRODUCT($H$194,$I$194)</f>
        <v>609.05898000000002</v>
      </c>
      <c r="DF194" s="8" t="s">
        <v>514</v>
      </c>
    </row>
    <row r="195" spans="1:110" ht="31.5" x14ac:dyDescent="0.25">
      <c r="A195" s="3">
        <v>15</v>
      </c>
      <c r="B195" s="56" t="str">
        <f>('Elenco Prezzi'!$A$25)</f>
        <v>100.110</v>
      </c>
      <c r="C195" s="23" t="str">
        <f>('Elenco Prezzi'!$B$25)</f>
        <v>Tinteggiatura con idropittura traspirante escluse da detrazioni superbonus 110%</v>
      </c>
      <c r="D195" s="70"/>
      <c r="E195" s="70"/>
      <c r="F195" s="70"/>
      <c r="G195" s="70"/>
      <c r="H195" s="69"/>
      <c r="I195" s="65"/>
      <c r="J195" s="65"/>
      <c r="K195" s="58" t="s">
        <v>281</v>
      </c>
      <c r="L195" s="58" t="s">
        <v>278</v>
      </c>
      <c r="M195" s="58" t="s">
        <v>279</v>
      </c>
      <c r="N195" s="58" t="s">
        <v>234</v>
      </c>
      <c r="DF195" s="8" t="s">
        <v>514</v>
      </c>
    </row>
    <row r="196" spans="1:110" ht="31.5" hidden="1" outlineLevel="1" x14ac:dyDescent="0.25">
      <c r="C196" s="57" t="str">
        <f>('Elenco Prezzi'!$B$26)</f>
        <v>Tinteggiatura con idropittura traspirante escluse da detrazioni superbonus 110%</v>
      </c>
      <c r="D196" s="70"/>
      <c r="E196" s="70"/>
      <c r="F196" s="70"/>
      <c r="G196" s="70"/>
      <c r="H196" s="69"/>
      <c r="I196" s="65"/>
      <c r="J196" s="65"/>
      <c r="DF196" s="8" t="s">
        <v>514</v>
      </c>
    </row>
    <row r="197" spans="1:110" ht="47.25" hidden="1" outlineLevel="1" x14ac:dyDescent="0.25">
      <c r="C197" s="57" t="str">
        <f>('Elenco Prezzi'!$B$27)</f>
        <v>Tinteggiatura con idropittura di superfici a tre mani a coprire, esclusa la preparazione delle stesse: su superfici esterne: con idropittura traspirante escluse da detrazioni</v>
      </c>
      <c r="D197" s="70"/>
      <c r="E197" s="70"/>
      <c r="F197" s="70"/>
      <c r="G197" s="70"/>
      <c r="H197" s="69"/>
      <c r="I197" s="65"/>
      <c r="J197" s="65"/>
      <c r="DF197" s="8" t="s">
        <v>514</v>
      </c>
    </row>
    <row r="198" spans="1:110" outlineLevel="1" x14ac:dyDescent="0.25">
      <c r="C198" s="59" t="s">
        <v>235</v>
      </c>
      <c r="D198" s="70"/>
      <c r="E198" s="70"/>
      <c r="F198" s="70"/>
      <c r="G198" s="70"/>
      <c r="H198" s="69"/>
      <c r="I198" s="65"/>
      <c r="J198" s="65"/>
      <c r="DF198" s="8" t="s">
        <v>514</v>
      </c>
    </row>
    <row r="199" spans="1:110" ht="31.5" outlineLevel="1" x14ac:dyDescent="0.25">
      <c r="C199" s="5" t="s">
        <v>280</v>
      </c>
      <c r="D199" s="70"/>
      <c r="E199" s="70"/>
      <c r="F199" s="70"/>
      <c r="G199" s="70"/>
      <c r="H199" s="69"/>
      <c r="I199" s="65"/>
      <c r="J199" s="65"/>
      <c r="DF199" s="8" t="s">
        <v>514</v>
      </c>
    </row>
    <row r="200" spans="1:110" outlineLevel="1" x14ac:dyDescent="0.25">
      <c r="C200" s="5" t="s">
        <v>265</v>
      </c>
      <c r="D200" s="70"/>
      <c r="E200" s="70">
        <v>15.5</v>
      </c>
      <c r="F200" s="70"/>
      <c r="G200" s="70">
        <v>3.6</v>
      </c>
      <c r="H200" s="69">
        <f>PRODUCT($CV$200,$CW$200,$CX$200,$CY$200)</f>
        <v>55.800000000000004</v>
      </c>
      <c r="I200" s="65"/>
      <c r="J200" s="65"/>
      <c r="CW200" s="8">
        <f>(15.5)</f>
        <v>15.5</v>
      </c>
      <c r="CY200" s="8">
        <f>(3.6)</f>
        <v>3.6</v>
      </c>
      <c r="DF200" s="8" t="s">
        <v>514</v>
      </c>
    </row>
    <row r="201" spans="1:110" outlineLevel="1" x14ac:dyDescent="0.25">
      <c r="C201" s="5" t="s">
        <v>266</v>
      </c>
      <c r="D201" s="70"/>
      <c r="E201" s="70">
        <v>21.294</v>
      </c>
      <c r="F201" s="70"/>
      <c r="G201" s="70">
        <v>3.6</v>
      </c>
      <c r="H201" s="69">
        <f>PRODUCT($CV$201,$CW$201,$CX$201,$CY$201)</f>
        <v>76.6584</v>
      </c>
      <c r="I201" s="65"/>
      <c r="J201" s="65"/>
      <c r="CW201" s="8">
        <f>(21.294)</f>
        <v>21.294</v>
      </c>
      <c r="CY201" s="8">
        <f>(3.6)</f>
        <v>3.6</v>
      </c>
      <c r="DF201" s="8" t="s">
        <v>514</v>
      </c>
    </row>
    <row r="202" spans="1:110" outlineLevel="1" x14ac:dyDescent="0.25">
      <c r="C202" s="5" t="s">
        <v>264</v>
      </c>
      <c r="D202" s="70"/>
      <c r="E202" s="70">
        <v>11.525</v>
      </c>
      <c r="F202" s="70"/>
      <c r="G202" s="70">
        <v>3.6</v>
      </c>
      <c r="H202" s="69">
        <f>PRODUCT($CV$202,$CW$202,$CX$202,$CY$202)</f>
        <v>41.49</v>
      </c>
      <c r="I202" s="65"/>
      <c r="J202" s="65"/>
      <c r="CW202" s="8">
        <f>(11.525)</f>
        <v>11.525</v>
      </c>
      <c r="CY202" s="8">
        <f>(3.6)</f>
        <v>3.6</v>
      </c>
      <c r="DF202" s="8" t="s">
        <v>514</v>
      </c>
    </row>
    <row r="203" spans="1:110" x14ac:dyDescent="0.25">
      <c r="C203" s="60" t="str">
        <f>CONCATENATE("SOMMANO " &amp; 'Elenco Prezzi'!$C$25)</f>
        <v>SOMMANO m2</v>
      </c>
      <c r="D203" s="70"/>
      <c r="E203" s="70"/>
      <c r="F203" s="70"/>
      <c r="G203" s="70"/>
      <c r="H203" s="69">
        <f>SUM($H$199:$H$202)</f>
        <v>173.94840000000002</v>
      </c>
      <c r="I203" s="65">
        <f>('Elenco Prezzi'!$D$25)</f>
        <v>3.81</v>
      </c>
      <c r="J203" s="65">
        <f>PRODUCT($H$203,$I$203)</f>
        <v>662.74340400000006</v>
      </c>
      <c r="DF203" s="8" t="s">
        <v>514</v>
      </c>
    </row>
    <row r="204" spans="1:110" ht="31.5" x14ac:dyDescent="0.25">
      <c r="A204" s="3">
        <v>16</v>
      </c>
      <c r="B204" s="56" t="str">
        <f>('Elenco Prezzi'!$A$28)</f>
        <v>200.101</v>
      </c>
      <c r="C204" s="23" t="str">
        <f>('Elenco Prezzi'!$B$28)</f>
        <v>Isolamento rigido</v>
      </c>
      <c r="D204" s="70"/>
      <c r="E204" s="70"/>
      <c r="F204" s="70"/>
      <c r="G204" s="70"/>
      <c r="H204" s="69"/>
      <c r="I204" s="65"/>
      <c r="J204" s="65"/>
      <c r="K204" s="58" t="s">
        <v>239</v>
      </c>
      <c r="L204" s="58" t="s">
        <v>232</v>
      </c>
      <c r="M204" s="58" t="s">
        <v>232</v>
      </c>
      <c r="N204" s="58" t="s">
        <v>234</v>
      </c>
      <c r="DF204" s="8" t="s">
        <v>514</v>
      </c>
    </row>
    <row r="205" spans="1:110" hidden="1" outlineLevel="1" x14ac:dyDescent="0.25">
      <c r="C205" s="57" t="str">
        <f>('Elenco Prezzi'!$B$29)</f>
        <v>Isolamento rigido</v>
      </c>
      <c r="D205" s="70"/>
      <c r="E205" s="70"/>
      <c r="F205" s="70"/>
      <c r="G205" s="70"/>
      <c r="H205" s="69"/>
      <c r="I205" s="65"/>
      <c r="J205" s="65"/>
      <c r="DF205" s="8" t="s">
        <v>514</v>
      </c>
    </row>
    <row r="206" spans="1:110" hidden="1" outlineLevel="1" x14ac:dyDescent="0.25">
      <c r="C206" s="57" t="str">
        <f>('Elenco Prezzi'!$B$30)</f>
        <v>Isolamento rigido</v>
      </c>
      <c r="D206" s="70"/>
      <c r="E206" s="70"/>
      <c r="F206" s="70"/>
      <c r="G206" s="70"/>
      <c r="H206" s="69"/>
      <c r="I206" s="65"/>
      <c r="J206" s="65"/>
      <c r="DF206" s="8" t="s">
        <v>514</v>
      </c>
    </row>
    <row r="207" spans="1:110" outlineLevel="1" x14ac:dyDescent="0.25">
      <c r="C207" s="59" t="s">
        <v>235</v>
      </c>
      <c r="D207" s="70"/>
      <c r="E207" s="70"/>
      <c r="F207" s="70"/>
      <c r="G207" s="70"/>
      <c r="H207" s="69"/>
      <c r="I207" s="65"/>
      <c r="J207" s="65"/>
      <c r="DF207" s="8" t="s">
        <v>514</v>
      </c>
    </row>
    <row r="208" spans="1:110" outlineLevel="1" x14ac:dyDescent="0.25">
      <c r="C208" s="5" t="s">
        <v>282</v>
      </c>
      <c r="D208" s="70"/>
      <c r="E208" s="70">
        <v>44</v>
      </c>
      <c r="F208" s="70">
        <v>0.04</v>
      </c>
      <c r="G208" s="70">
        <v>3.6</v>
      </c>
      <c r="H208" s="69">
        <f>PRODUCT($CV$208,$CW$208,$CX$208,$CY$208)</f>
        <v>6.3360000000000003</v>
      </c>
      <c r="I208" s="65"/>
      <c r="J208" s="65"/>
      <c r="CW208" s="8">
        <f>(44)</f>
        <v>44</v>
      </c>
      <c r="CX208" s="8">
        <f>(0.04)</f>
        <v>0.04</v>
      </c>
      <c r="CY208" s="8">
        <f>(3.6)</f>
        <v>3.6</v>
      </c>
      <c r="DF208" s="8" t="s">
        <v>514</v>
      </c>
    </row>
    <row r="209" spans="1:110" outlineLevel="1" x14ac:dyDescent="0.25">
      <c r="A209" s="61"/>
      <c r="B209" s="62"/>
      <c r="C209" s="63" t="s">
        <v>283</v>
      </c>
      <c r="D209" s="71">
        <v>1</v>
      </c>
      <c r="E209" s="71">
        <v>1</v>
      </c>
      <c r="F209" s="71">
        <v>0.04</v>
      </c>
      <c r="G209" s="71">
        <v>1.5</v>
      </c>
      <c r="H209" s="72">
        <f>PRODUCT($CV$209,$CW$209,$CX$209,$CY$209) * -1</f>
        <v>-0.06</v>
      </c>
      <c r="I209" s="65"/>
      <c r="J209" s="65"/>
      <c r="CV209" s="8">
        <f>(1)</f>
        <v>1</v>
      </c>
      <c r="CW209" s="8">
        <f>(1)</f>
        <v>1</v>
      </c>
      <c r="CX209" s="8">
        <f>(0.04)</f>
        <v>0.04</v>
      </c>
      <c r="CY209" s="8">
        <f>(1.5)</f>
        <v>1.5</v>
      </c>
      <c r="DF209" s="8" t="s">
        <v>514</v>
      </c>
    </row>
    <row r="210" spans="1:110" outlineLevel="1" x14ac:dyDescent="0.25">
      <c r="A210" s="61"/>
      <c r="B210" s="62"/>
      <c r="C210" s="63" t="s">
        <v>284</v>
      </c>
      <c r="D210" s="71">
        <v>1</v>
      </c>
      <c r="E210" s="71">
        <v>1</v>
      </c>
      <c r="F210" s="71">
        <v>0.04</v>
      </c>
      <c r="G210" s="71">
        <v>1.5</v>
      </c>
      <c r="H210" s="72">
        <f>PRODUCT($CV$210,$CW$210,$CX$210,$CY$210) * -1</f>
        <v>-0.06</v>
      </c>
      <c r="I210" s="65"/>
      <c r="J210" s="65"/>
      <c r="CV210" s="8">
        <f>(1)</f>
        <v>1</v>
      </c>
      <c r="CW210" s="8">
        <f>(1)</f>
        <v>1</v>
      </c>
      <c r="CX210" s="8">
        <f>(0.04)</f>
        <v>0.04</v>
      </c>
      <c r="CY210" s="8">
        <f>(1.5)</f>
        <v>1.5</v>
      </c>
      <c r="DF210" s="8" t="s">
        <v>514</v>
      </c>
    </row>
    <row r="211" spans="1:110" outlineLevel="1" x14ac:dyDescent="0.25">
      <c r="A211" s="61"/>
      <c r="B211" s="62"/>
      <c r="C211" s="63" t="s">
        <v>285</v>
      </c>
      <c r="D211" s="71">
        <v>1</v>
      </c>
      <c r="E211" s="71">
        <v>1</v>
      </c>
      <c r="F211" s="71">
        <v>0.04</v>
      </c>
      <c r="G211" s="71">
        <v>1.5</v>
      </c>
      <c r="H211" s="72">
        <f>PRODUCT($CV$211,$CW$211,$CX$211,$CY$211) * -1</f>
        <v>-0.06</v>
      </c>
      <c r="I211" s="65"/>
      <c r="J211" s="65"/>
      <c r="CV211" s="8">
        <f>(1)</f>
        <v>1</v>
      </c>
      <c r="CW211" s="8">
        <f>(1)</f>
        <v>1</v>
      </c>
      <c r="CX211" s="8">
        <f>(0.04)</f>
        <v>0.04</v>
      </c>
      <c r="CY211" s="8">
        <f>(1.5)</f>
        <v>1.5</v>
      </c>
      <c r="DF211" s="8" t="s">
        <v>514</v>
      </c>
    </row>
    <row r="212" spans="1:110" x14ac:dyDescent="0.25">
      <c r="C212" s="60" t="str">
        <f>CONCATENATE("SOMMANO " &amp; 'Elenco Prezzi'!$C$28)</f>
        <v>SOMMANO m3</v>
      </c>
      <c r="D212" s="70"/>
      <c r="E212" s="70"/>
      <c r="F212" s="70"/>
      <c r="G212" s="70"/>
      <c r="H212" s="69">
        <f>SUM($H$208:$H$211)</f>
        <v>6.1560000000000015</v>
      </c>
      <c r="I212" s="65">
        <f>('Elenco Prezzi'!$D$28)</f>
        <v>2</v>
      </c>
      <c r="J212" s="65">
        <f>PRODUCT($H$212,$I$212)</f>
        <v>12.312000000000003</v>
      </c>
      <c r="DF212" s="8" t="s">
        <v>514</v>
      </c>
    </row>
    <row r="213" spans="1:110" ht="31.5" x14ac:dyDescent="0.25">
      <c r="A213" s="3">
        <v>17</v>
      </c>
      <c r="B213" s="56" t="str">
        <f>('Elenco Prezzi'!$A$28)</f>
        <v>200.101</v>
      </c>
      <c r="C213" s="23" t="str">
        <f>('Elenco Prezzi'!$B$28)</f>
        <v>Isolamento rigido</v>
      </c>
      <c r="D213" s="70"/>
      <c r="E213" s="70"/>
      <c r="F213" s="70"/>
      <c r="G213" s="70"/>
      <c r="H213" s="69"/>
      <c r="I213" s="65"/>
      <c r="J213" s="65"/>
      <c r="K213" s="58" t="s">
        <v>231</v>
      </c>
      <c r="L213" s="58" t="s">
        <v>232</v>
      </c>
      <c r="M213" s="58" t="s">
        <v>232</v>
      </c>
      <c r="N213" s="58" t="s">
        <v>234</v>
      </c>
      <c r="DF213" s="8" t="s">
        <v>514</v>
      </c>
    </row>
    <row r="214" spans="1:110" hidden="1" outlineLevel="1" x14ac:dyDescent="0.25">
      <c r="C214" s="57" t="str">
        <f>('Elenco Prezzi'!$B$29)</f>
        <v>Isolamento rigido</v>
      </c>
      <c r="D214" s="70"/>
      <c r="E214" s="70"/>
      <c r="F214" s="70"/>
      <c r="G214" s="70"/>
      <c r="H214" s="69"/>
      <c r="I214" s="65"/>
      <c r="J214" s="65"/>
      <c r="DF214" s="8" t="s">
        <v>514</v>
      </c>
    </row>
    <row r="215" spans="1:110" hidden="1" outlineLevel="1" x14ac:dyDescent="0.25">
      <c r="C215" s="57" t="str">
        <f>('Elenco Prezzi'!$B$30)</f>
        <v>Isolamento rigido</v>
      </c>
      <c r="D215" s="70"/>
      <c r="E215" s="70"/>
      <c r="F215" s="70"/>
      <c r="G215" s="70"/>
      <c r="H215" s="69"/>
      <c r="I215" s="65"/>
      <c r="J215" s="65"/>
      <c r="DF215" s="8" t="s">
        <v>514</v>
      </c>
    </row>
    <row r="216" spans="1:110" outlineLevel="1" x14ac:dyDescent="0.25">
      <c r="C216" s="59" t="s">
        <v>235</v>
      </c>
      <c r="D216" s="70"/>
      <c r="E216" s="70"/>
      <c r="F216" s="70"/>
      <c r="G216" s="70"/>
      <c r="H216" s="69"/>
      <c r="I216" s="65"/>
      <c r="J216" s="65"/>
      <c r="DF216" s="8" t="s">
        <v>514</v>
      </c>
    </row>
    <row r="217" spans="1:110" outlineLevel="1" x14ac:dyDescent="0.25">
      <c r="C217" s="5" t="s">
        <v>286</v>
      </c>
      <c r="D217" s="70"/>
      <c r="E217" s="70">
        <v>48</v>
      </c>
      <c r="F217" s="70">
        <v>0.04</v>
      </c>
      <c r="G217" s="70">
        <v>3.6</v>
      </c>
      <c r="H217" s="69">
        <f>PRODUCT($CV$217,$CW$217,$CX$217,$CY$217)</f>
        <v>6.9119999999999999</v>
      </c>
      <c r="I217" s="65"/>
      <c r="J217" s="65"/>
      <c r="CW217" s="8">
        <f>(48)</f>
        <v>48</v>
      </c>
      <c r="CX217" s="8">
        <f>(0.04)</f>
        <v>0.04</v>
      </c>
      <c r="CY217" s="8">
        <f>(3.6)</f>
        <v>3.6</v>
      </c>
      <c r="DF217" s="8" t="s">
        <v>514</v>
      </c>
    </row>
    <row r="218" spans="1:110" outlineLevel="1" x14ac:dyDescent="0.25">
      <c r="A218" s="61"/>
      <c r="B218" s="62"/>
      <c r="C218" s="63" t="s">
        <v>287</v>
      </c>
      <c r="D218" s="71">
        <v>1</v>
      </c>
      <c r="E218" s="71">
        <v>1</v>
      </c>
      <c r="F218" s="71">
        <v>0.04</v>
      </c>
      <c r="G218" s="71">
        <v>1.5</v>
      </c>
      <c r="H218" s="72">
        <f>PRODUCT($CV$218,$CW$218,$CX$218,$CY$218) * -1</f>
        <v>-0.06</v>
      </c>
      <c r="I218" s="65"/>
      <c r="J218" s="65"/>
      <c r="CV218" s="8">
        <f>(1)</f>
        <v>1</v>
      </c>
      <c r="CW218" s="8">
        <f>(1)</f>
        <v>1</v>
      </c>
      <c r="CX218" s="8">
        <f>(0.04)</f>
        <v>0.04</v>
      </c>
      <c r="CY218" s="8">
        <f>(1.5)</f>
        <v>1.5</v>
      </c>
      <c r="DF218" s="8" t="s">
        <v>514</v>
      </c>
    </row>
    <row r="219" spans="1:110" outlineLevel="1" x14ac:dyDescent="0.25">
      <c r="A219" s="61"/>
      <c r="B219" s="62"/>
      <c r="C219" s="63" t="s">
        <v>288</v>
      </c>
      <c r="D219" s="71">
        <v>1</v>
      </c>
      <c r="E219" s="71">
        <v>1</v>
      </c>
      <c r="F219" s="71">
        <v>0.04</v>
      </c>
      <c r="G219" s="71">
        <v>1.5</v>
      </c>
      <c r="H219" s="72">
        <f>PRODUCT($CV$219,$CW$219,$CX$219,$CY$219) * -1</f>
        <v>-0.06</v>
      </c>
      <c r="I219" s="65"/>
      <c r="J219" s="65"/>
      <c r="CV219" s="8">
        <f>(1)</f>
        <v>1</v>
      </c>
      <c r="CW219" s="8">
        <f>(1)</f>
        <v>1</v>
      </c>
      <c r="CX219" s="8">
        <f>(0.04)</f>
        <v>0.04</v>
      </c>
      <c r="CY219" s="8">
        <f>(1.5)</f>
        <v>1.5</v>
      </c>
      <c r="DF219" s="8" t="s">
        <v>514</v>
      </c>
    </row>
    <row r="220" spans="1:110" outlineLevel="1" x14ac:dyDescent="0.25">
      <c r="A220" s="61"/>
      <c r="B220" s="62"/>
      <c r="C220" s="63" t="s">
        <v>289</v>
      </c>
      <c r="D220" s="71">
        <v>1</v>
      </c>
      <c r="E220" s="71">
        <v>1</v>
      </c>
      <c r="F220" s="71">
        <v>0.04</v>
      </c>
      <c r="G220" s="71">
        <v>1.5</v>
      </c>
      <c r="H220" s="72">
        <f>PRODUCT($CV$220,$CW$220,$CX$220,$CY$220) * -1</f>
        <v>-0.06</v>
      </c>
      <c r="I220" s="65"/>
      <c r="J220" s="65"/>
      <c r="CV220" s="8">
        <f>(1)</f>
        <v>1</v>
      </c>
      <c r="CW220" s="8">
        <f>(1)</f>
        <v>1</v>
      </c>
      <c r="CX220" s="8">
        <f>(0.04)</f>
        <v>0.04</v>
      </c>
      <c r="CY220" s="8">
        <f>(1.5)</f>
        <v>1.5</v>
      </c>
      <c r="DF220" s="8" t="s">
        <v>514</v>
      </c>
    </row>
    <row r="221" spans="1:110" ht="31.5" outlineLevel="1" x14ac:dyDescent="0.25">
      <c r="A221" s="61"/>
      <c r="B221" s="62"/>
      <c r="C221" s="63" t="s">
        <v>290</v>
      </c>
      <c r="D221" s="71"/>
      <c r="E221" s="71">
        <v>2</v>
      </c>
      <c r="F221" s="71">
        <v>0.04</v>
      </c>
      <c r="G221" s="71">
        <v>2.5099999999999998</v>
      </c>
      <c r="H221" s="72">
        <f>PRODUCT($CV$221,$CW$221,$CX$221,$CY$221) * -1</f>
        <v>-0.20079999999999998</v>
      </c>
      <c r="I221" s="65"/>
      <c r="J221" s="65"/>
      <c r="CW221" s="8">
        <f>(2)</f>
        <v>2</v>
      </c>
      <c r="CX221" s="8">
        <f>(0.04)</f>
        <v>0.04</v>
      </c>
      <c r="CY221" s="8">
        <f>(2.51)</f>
        <v>2.5099999999999998</v>
      </c>
      <c r="DF221" s="8" t="s">
        <v>514</v>
      </c>
    </row>
    <row r="222" spans="1:110" ht="31.5" outlineLevel="1" x14ac:dyDescent="0.25">
      <c r="A222" s="61"/>
      <c r="B222" s="62"/>
      <c r="C222" s="63" t="s">
        <v>291</v>
      </c>
      <c r="D222" s="71"/>
      <c r="E222" s="71">
        <v>2</v>
      </c>
      <c r="F222" s="71">
        <v>0.04</v>
      </c>
      <c r="G222" s="71">
        <v>2.5099999999999998</v>
      </c>
      <c r="H222" s="72">
        <f>PRODUCT($CV$222,$CW$222,$CX$222,$CY$222) * -1</f>
        <v>-0.20079999999999998</v>
      </c>
      <c r="I222" s="65"/>
      <c r="J222" s="65"/>
      <c r="CW222" s="8">
        <f>(2)</f>
        <v>2</v>
      </c>
      <c r="CX222" s="8">
        <f>(0.04)</f>
        <v>0.04</v>
      </c>
      <c r="CY222" s="8">
        <f>(2.51)</f>
        <v>2.5099999999999998</v>
      </c>
      <c r="DF222" s="8" t="s">
        <v>514</v>
      </c>
    </row>
    <row r="223" spans="1:110" x14ac:dyDescent="0.25">
      <c r="C223" s="60" t="str">
        <f>CONCATENATE("SOMMANO " &amp; 'Elenco Prezzi'!$C$28)</f>
        <v>SOMMANO m3</v>
      </c>
      <c r="D223" s="70"/>
      <c r="E223" s="70"/>
      <c r="F223" s="70"/>
      <c r="G223" s="70"/>
      <c r="H223" s="69">
        <f>SUM($H$217:$H$222)</f>
        <v>6.3304000000000009</v>
      </c>
      <c r="I223" s="65">
        <f>('Elenco Prezzi'!$D$28)</f>
        <v>2</v>
      </c>
      <c r="J223" s="65">
        <f>PRODUCT($H$223,$I$223)</f>
        <v>12.660800000000002</v>
      </c>
      <c r="DF223" s="8" t="s">
        <v>514</v>
      </c>
    </row>
    <row r="224" spans="1:110" ht="31.5" x14ac:dyDescent="0.25">
      <c r="A224" s="3">
        <v>18</v>
      </c>
      <c r="B224" s="56" t="str">
        <f>('Elenco Prezzi'!$A$31)</f>
        <v>200.103</v>
      </c>
      <c r="C224" s="23" t="str">
        <f>('Elenco Prezzi'!$B$31)</f>
        <v>Cappotto esterno per isolamento escluso d adetrazioni superboonus 110%</v>
      </c>
      <c r="D224" s="70"/>
      <c r="E224" s="70"/>
      <c r="F224" s="70"/>
      <c r="G224" s="70"/>
      <c r="H224" s="69"/>
      <c r="I224" s="65"/>
      <c r="J224" s="65"/>
      <c r="K224" s="58" t="s">
        <v>277</v>
      </c>
      <c r="L224" s="58" t="s">
        <v>278</v>
      </c>
      <c r="M224" s="58" t="s">
        <v>279</v>
      </c>
      <c r="N224" s="58" t="s">
        <v>234</v>
      </c>
      <c r="DF224" s="8" t="s">
        <v>514</v>
      </c>
    </row>
    <row r="225" spans="1:110" ht="31.5" hidden="1" outlineLevel="1" x14ac:dyDescent="0.25">
      <c r="C225" s="57" t="str">
        <f>('Elenco Prezzi'!$B$32)</f>
        <v>Cappotto esterno per isolamento escluso d adetrazioni superboonus 110%</v>
      </c>
      <c r="D225" s="70"/>
      <c r="E225" s="70"/>
      <c r="F225" s="70"/>
      <c r="G225" s="70"/>
      <c r="H225" s="69"/>
      <c r="I225" s="65"/>
      <c r="J225" s="65"/>
      <c r="DF225" s="8" t="s">
        <v>514</v>
      </c>
    </row>
    <row r="226" spans="1:110" hidden="1" outlineLevel="1" x14ac:dyDescent="0.25">
      <c r="C226" s="57" t="str">
        <f>('Elenco Prezzi'!$B$33)</f>
        <v>Cappotto esterno per isolamento superboonus 110%</v>
      </c>
      <c r="D226" s="70"/>
      <c r="E226" s="70"/>
      <c r="F226" s="70"/>
      <c r="G226" s="70"/>
      <c r="H226" s="69"/>
      <c r="I226" s="65"/>
      <c r="J226" s="65"/>
      <c r="DF226" s="8" t="s">
        <v>514</v>
      </c>
    </row>
    <row r="227" spans="1:110" outlineLevel="1" x14ac:dyDescent="0.25">
      <c r="C227" s="59" t="s">
        <v>235</v>
      </c>
      <c r="D227" s="70"/>
      <c r="E227" s="70"/>
      <c r="F227" s="70"/>
      <c r="G227" s="70"/>
      <c r="H227" s="69"/>
      <c r="I227" s="65"/>
      <c r="J227" s="65"/>
      <c r="DF227" s="8" t="s">
        <v>514</v>
      </c>
    </row>
    <row r="228" spans="1:110" ht="31.5" outlineLevel="1" x14ac:dyDescent="0.25">
      <c r="C228" s="5" t="s">
        <v>292</v>
      </c>
      <c r="D228" s="70"/>
      <c r="E228" s="70"/>
      <c r="F228" s="70"/>
      <c r="G228" s="70"/>
      <c r="H228" s="69"/>
      <c r="I228" s="65"/>
      <c r="J228" s="65"/>
      <c r="DF228" s="8" t="s">
        <v>514</v>
      </c>
    </row>
    <row r="229" spans="1:110" outlineLevel="1" x14ac:dyDescent="0.25">
      <c r="C229" s="5" t="s">
        <v>241</v>
      </c>
      <c r="D229" s="70"/>
      <c r="E229" s="70">
        <v>20.405000000000001</v>
      </c>
      <c r="F229" s="70">
        <v>0.4</v>
      </c>
      <c r="G229" s="70">
        <v>3.6</v>
      </c>
      <c r="H229" s="69">
        <f>PRODUCT($CV$229,$CW$229,$CX$229,$CY$229)</f>
        <v>29.383200000000002</v>
      </c>
      <c r="I229" s="65"/>
      <c r="J229" s="65"/>
      <c r="CW229" s="8">
        <f>(20.405)</f>
        <v>20.405000000000001</v>
      </c>
      <c r="CX229" s="8">
        <f>(0.4)</f>
        <v>0.4</v>
      </c>
      <c r="CY229" s="8">
        <f>(3.6)</f>
        <v>3.6</v>
      </c>
      <c r="DF229" s="8" t="s">
        <v>514</v>
      </c>
    </row>
    <row r="230" spans="1:110" outlineLevel="1" x14ac:dyDescent="0.25">
      <c r="C230" s="5" t="s">
        <v>242</v>
      </c>
      <c r="D230" s="70"/>
      <c r="E230" s="70">
        <v>12</v>
      </c>
      <c r="F230" s="70">
        <v>0.4</v>
      </c>
      <c r="G230" s="70">
        <v>3.6</v>
      </c>
      <c r="H230" s="69">
        <f>PRODUCT($CV$230,$CW$230,$CX$230,$CY$230)</f>
        <v>17.280000000000005</v>
      </c>
      <c r="I230" s="65"/>
      <c r="J230" s="65"/>
      <c r="CW230" s="8">
        <f>(12)</f>
        <v>12</v>
      </c>
      <c r="CX230" s="8">
        <f>(0.4)</f>
        <v>0.4</v>
      </c>
      <c r="CY230" s="8">
        <f>(3.6)</f>
        <v>3.6</v>
      </c>
      <c r="DF230" s="8" t="s">
        <v>514</v>
      </c>
    </row>
    <row r="231" spans="1:110" outlineLevel="1" x14ac:dyDescent="0.25">
      <c r="C231" s="5" t="s">
        <v>240</v>
      </c>
      <c r="D231" s="70"/>
      <c r="E231" s="70">
        <v>12</v>
      </c>
      <c r="F231" s="70">
        <v>0.4</v>
      </c>
      <c r="G231" s="70">
        <v>3.6</v>
      </c>
      <c r="H231" s="69">
        <f>PRODUCT($CV$231,$CW$231,$CX$231,$CY$231)</f>
        <v>17.280000000000005</v>
      </c>
      <c r="I231" s="65"/>
      <c r="J231" s="65"/>
      <c r="CW231" s="8">
        <f>(12)</f>
        <v>12</v>
      </c>
      <c r="CX231" s="8">
        <f>(0.4)</f>
        <v>0.4</v>
      </c>
      <c r="CY231" s="8">
        <f>(3.6)</f>
        <v>3.6</v>
      </c>
      <c r="DF231" s="8" t="s">
        <v>514</v>
      </c>
    </row>
    <row r="232" spans="1:110" x14ac:dyDescent="0.25">
      <c r="C232" s="60" t="str">
        <f>CONCATENATE("SOMMANO " &amp; 'Elenco Prezzi'!$C$31)</f>
        <v>SOMMANO m3</v>
      </c>
      <c r="D232" s="70"/>
      <c r="E232" s="70"/>
      <c r="F232" s="70"/>
      <c r="G232" s="70"/>
      <c r="H232" s="69">
        <f>SUM($H$228:$H$231)</f>
        <v>63.943200000000004</v>
      </c>
      <c r="I232" s="65">
        <f>('Elenco Prezzi'!$D$31)</f>
        <v>25</v>
      </c>
      <c r="J232" s="65">
        <f>PRODUCT($H$232,$I$232)</f>
        <v>1598.5800000000002</v>
      </c>
      <c r="DF232" s="8" t="s">
        <v>514</v>
      </c>
    </row>
    <row r="233" spans="1:110" ht="31.5" x14ac:dyDescent="0.25">
      <c r="A233" s="3">
        <v>19</v>
      </c>
      <c r="B233" s="56" t="str">
        <f>('Elenco Prezzi'!$A$31)</f>
        <v>200.103</v>
      </c>
      <c r="C233" s="23" t="str">
        <f>('Elenco Prezzi'!$B$31)</f>
        <v>Cappotto esterno per isolamento escluso d adetrazioni superboonus 110%</v>
      </c>
      <c r="D233" s="70"/>
      <c r="E233" s="70"/>
      <c r="F233" s="70"/>
      <c r="G233" s="70"/>
      <c r="H233" s="69"/>
      <c r="I233" s="65"/>
      <c r="J233" s="65"/>
      <c r="K233" s="58" t="s">
        <v>281</v>
      </c>
      <c r="L233" s="58" t="s">
        <v>278</v>
      </c>
      <c r="M233" s="58" t="s">
        <v>279</v>
      </c>
      <c r="N233" s="58" t="s">
        <v>234</v>
      </c>
      <c r="DF233" s="8" t="s">
        <v>514</v>
      </c>
    </row>
    <row r="234" spans="1:110" ht="31.5" hidden="1" outlineLevel="1" x14ac:dyDescent="0.25">
      <c r="C234" s="57" t="str">
        <f>('Elenco Prezzi'!$B$32)</f>
        <v>Cappotto esterno per isolamento escluso d adetrazioni superboonus 110%</v>
      </c>
      <c r="D234" s="70"/>
      <c r="E234" s="70"/>
      <c r="F234" s="70"/>
      <c r="G234" s="70"/>
      <c r="H234" s="69"/>
      <c r="I234" s="65"/>
      <c r="J234" s="65"/>
      <c r="DF234" s="8" t="s">
        <v>514</v>
      </c>
    </row>
    <row r="235" spans="1:110" hidden="1" outlineLevel="1" x14ac:dyDescent="0.25">
      <c r="C235" s="57" t="str">
        <f>('Elenco Prezzi'!$B$33)</f>
        <v>Cappotto esterno per isolamento superboonus 110%</v>
      </c>
      <c r="D235" s="70"/>
      <c r="E235" s="70"/>
      <c r="F235" s="70"/>
      <c r="G235" s="70"/>
      <c r="H235" s="69"/>
      <c r="I235" s="65"/>
      <c r="J235" s="65"/>
      <c r="DF235" s="8" t="s">
        <v>514</v>
      </c>
    </row>
    <row r="236" spans="1:110" outlineLevel="1" x14ac:dyDescent="0.25">
      <c r="C236" s="59" t="s">
        <v>235</v>
      </c>
      <c r="D236" s="70"/>
      <c r="E236" s="70"/>
      <c r="F236" s="70"/>
      <c r="G236" s="70"/>
      <c r="H236" s="69"/>
      <c r="I236" s="65"/>
      <c r="J236" s="65"/>
      <c r="DF236" s="8" t="s">
        <v>514</v>
      </c>
    </row>
    <row r="237" spans="1:110" ht="31.5" outlineLevel="1" x14ac:dyDescent="0.25">
      <c r="C237" s="5" t="s">
        <v>292</v>
      </c>
      <c r="D237" s="70"/>
      <c r="E237" s="70"/>
      <c r="F237" s="70"/>
      <c r="G237" s="70"/>
      <c r="H237" s="69"/>
      <c r="I237" s="65"/>
      <c r="J237" s="65"/>
      <c r="DF237" s="8" t="s">
        <v>514</v>
      </c>
    </row>
    <row r="238" spans="1:110" outlineLevel="1" x14ac:dyDescent="0.25">
      <c r="C238" s="5" t="s">
        <v>265</v>
      </c>
      <c r="D238" s="70"/>
      <c r="E238" s="70">
        <v>15.5</v>
      </c>
      <c r="F238" s="70">
        <v>0.4</v>
      </c>
      <c r="G238" s="70">
        <v>3.6</v>
      </c>
      <c r="H238" s="69">
        <f>PRODUCT($CV$238,$CW$238,$CX$238,$CY$238)</f>
        <v>22.32</v>
      </c>
      <c r="I238" s="65"/>
      <c r="J238" s="65"/>
      <c r="CW238" s="8">
        <f>(15.5)</f>
        <v>15.5</v>
      </c>
      <c r="CX238" s="8">
        <f>(0.4)</f>
        <v>0.4</v>
      </c>
      <c r="CY238" s="8">
        <f>(3.6)</f>
        <v>3.6</v>
      </c>
      <c r="DF238" s="8" t="s">
        <v>514</v>
      </c>
    </row>
    <row r="239" spans="1:110" outlineLevel="1" x14ac:dyDescent="0.25">
      <c r="C239" s="5" t="s">
        <v>266</v>
      </c>
      <c r="D239" s="70"/>
      <c r="E239" s="70">
        <v>21.294</v>
      </c>
      <c r="F239" s="70">
        <v>0.4</v>
      </c>
      <c r="G239" s="70">
        <v>3.6</v>
      </c>
      <c r="H239" s="69">
        <f>PRODUCT($CV$239,$CW$239,$CX$239,$CY$239)</f>
        <v>30.663360000000001</v>
      </c>
      <c r="I239" s="65"/>
      <c r="J239" s="65"/>
      <c r="CW239" s="8">
        <f>(21.294)</f>
        <v>21.294</v>
      </c>
      <c r="CX239" s="8">
        <f>(0.4)</f>
        <v>0.4</v>
      </c>
      <c r="CY239" s="8">
        <f>(3.6)</f>
        <v>3.6</v>
      </c>
      <c r="DF239" s="8" t="s">
        <v>514</v>
      </c>
    </row>
    <row r="240" spans="1:110" outlineLevel="1" x14ac:dyDescent="0.25">
      <c r="C240" s="5" t="s">
        <v>264</v>
      </c>
      <c r="D240" s="70"/>
      <c r="E240" s="70">
        <v>11.525</v>
      </c>
      <c r="F240" s="70">
        <v>0.4</v>
      </c>
      <c r="G240" s="70">
        <v>3.6</v>
      </c>
      <c r="H240" s="69">
        <f>PRODUCT($CV$240,$CW$240,$CX$240,$CY$240)</f>
        <v>16.596</v>
      </c>
      <c r="I240" s="65"/>
      <c r="J240" s="65"/>
      <c r="CW240" s="8">
        <f>(11.525)</f>
        <v>11.525</v>
      </c>
      <c r="CX240" s="8">
        <f>(0.4)</f>
        <v>0.4</v>
      </c>
      <c r="CY240" s="8">
        <f>(3.6)</f>
        <v>3.6</v>
      </c>
      <c r="DF240" s="8" t="s">
        <v>514</v>
      </c>
    </row>
    <row r="241" spans="1:110" x14ac:dyDescent="0.25">
      <c r="C241" s="60" t="str">
        <f>CONCATENATE("SOMMANO " &amp; 'Elenco Prezzi'!$C$31)</f>
        <v>SOMMANO m3</v>
      </c>
      <c r="D241" s="70"/>
      <c r="E241" s="70"/>
      <c r="F241" s="70"/>
      <c r="G241" s="70"/>
      <c r="H241" s="69">
        <f>SUM($H$237:$H$240)</f>
        <v>69.579360000000008</v>
      </c>
      <c r="I241" s="65">
        <f>('Elenco Prezzi'!$D$31)</f>
        <v>25</v>
      </c>
      <c r="J241" s="65">
        <f>PRODUCT($H$241,$I$241)</f>
        <v>1739.4840000000002</v>
      </c>
      <c r="DF241" s="8" t="s">
        <v>514</v>
      </c>
    </row>
    <row r="242" spans="1:110" ht="31.5" x14ac:dyDescent="0.25">
      <c r="A242" s="3">
        <v>20</v>
      </c>
      <c r="B242" s="56" t="str">
        <f>('Elenco Prezzi'!$A$34)</f>
        <v>300.101</v>
      </c>
      <c r="C242" s="23" t="str">
        <f>('Elenco Prezzi'!$B$34)</f>
        <v>Ceramica bianca per pavimetazione</v>
      </c>
      <c r="D242" s="70"/>
      <c r="E242" s="70"/>
      <c r="F242" s="70"/>
      <c r="G242" s="70"/>
      <c r="H242" s="69"/>
      <c r="I242" s="65"/>
      <c r="J242" s="65"/>
      <c r="K242" s="58" t="s">
        <v>231</v>
      </c>
      <c r="L242" s="58" t="s">
        <v>232</v>
      </c>
      <c r="M242" s="58" t="s">
        <v>233</v>
      </c>
      <c r="N242" s="58" t="s">
        <v>234</v>
      </c>
      <c r="DF242" s="8" t="s">
        <v>514</v>
      </c>
    </row>
    <row r="243" spans="1:110" hidden="1" outlineLevel="1" x14ac:dyDescent="0.25">
      <c r="C243" s="57" t="str">
        <f>('Elenco Prezzi'!$B$35)</f>
        <v>Ceramica bianca per pavimetazione</v>
      </c>
      <c r="D243" s="70"/>
      <c r="E243" s="70"/>
      <c r="F243" s="70"/>
      <c r="G243" s="70"/>
      <c r="H243" s="69"/>
      <c r="I243" s="65"/>
      <c r="J243" s="65"/>
      <c r="DF243" s="8" t="s">
        <v>514</v>
      </c>
    </row>
    <row r="244" spans="1:110" hidden="1" outlineLevel="1" x14ac:dyDescent="0.25">
      <c r="C244" s="57" t="str">
        <f>('Elenco Prezzi'!$B$36)</f>
        <v>Ceramica bianca per pavimetazione</v>
      </c>
      <c r="D244" s="70"/>
      <c r="E244" s="70"/>
      <c r="F244" s="70"/>
      <c r="G244" s="70"/>
      <c r="H244" s="69"/>
      <c r="I244" s="65"/>
      <c r="J244" s="65"/>
      <c r="DF244" s="8" t="s">
        <v>514</v>
      </c>
    </row>
    <row r="245" spans="1:110" outlineLevel="1" x14ac:dyDescent="0.25">
      <c r="C245" s="59" t="s">
        <v>235</v>
      </c>
      <c r="D245" s="70"/>
      <c r="E245" s="70"/>
      <c r="F245" s="70"/>
      <c r="G245" s="70"/>
      <c r="H245" s="69"/>
      <c r="I245" s="65"/>
      <c r="J245" s="65"/>
      <c r="DF245" s="8" t="s">
        <v>514</v>
      </c>
    </row>
    <row r="246" spans="1:110" ht="31.5" outlineLevel="1" x14ac:dyDescent="0.25">
      <c r="C246" s="5" t="s">
        <v>236</v>
      </c>
      <c r="D246" s="70">
        <v>341.392</v>
      </c>
      <c r="E246" s="70"/>
      <c r="F246" s="70"/>
      <c r="G246" s="70">
        <v>0.02</v>
      </c>
      <c r="H246" s="69">
        <f>PRODUCT($CV$246,$CW$246,$CX$246,$CY$246)</f>
        <v>6.8278400000000001</v>
      </c>
      <c r="I246" s="65"/>
      <c r="J246" s="65"/>
      <c r="CV246" s="8">
        <f>(341.392)</f>
        <v>341.392</v>
      </c>
      <c r="CY246" s="8">
        <f>(0.02)</f>
        <v>0.02</v>
      </c>
      <c r="DF246" s="8" t="s">
        <v>514</v>
      </c>
    </row>
    <row r="247" spans="1:110" x14ac:dyDescent="0.25">
      <c r="C247" s="60" t="str">
        <f>CONCATENATE("SOMMANO " &amp; 'Elenco Prezzi'!$C$34)</f>
        <v>SOMMANO m3</v>
      </c>
      <c r="D247" s="70"/>
      <c r="E247" s="70"/>
      <c r="F247" s="70"/>
      <c r="G247" s="70"/>
      <c r="H247" s="69">
        <f>SUM($H$246:$H$246)</f>
        <v>6.8278400000000001</v>
      </c>
      <c r="I247" s="65">
        <f>('Elenco Prezzi'!$D$34)</f>
        <v>10</v>
      </c>
      <c r="J247" s="65">
        <f>PRODUCT($H$247,$I$247)</f>
        <v>68.278400000000005</v>
      </c>
      <c r="DF247" s="8" t="s">
        <v>514</v>
      </c>
    </row>
    <row r="248" spans="1:110" ht="31.5" x14ac:dyDescent="0.25">
      <c r="A248" s="3">
        <v>21</v>
      </c>
      <c r="B248" s="56" t="str">
        <f>('Elenco Prezzi'!$A$34)</f>
        <v>300.101</v>
      </c>
      <c r="C248" s="23" t="str">
        <f>('Elenco Prezzi'!$B$34)</f>
        <v>Ceramica bianca per pavimetazione</v>
      </c>
      <c r="D248" s="70"/>
      <c r="E248" s="70"/>
      <c r="F248" s="70"/>
      <c r="G248" s="70"/>
      <c r="H248" s="69"/>
      <c r="I248" s="65"/>
      <c r="J248" s="65"/>
      <c r="K248" s="58" t="s">
        <v>237</v>
      </c>
      <c r="L248" s="58" t="s">
        <v>232</v>
      </c>
      <c r="M248" s="58" t="s">
        <v>233</v>
      </c>
      <c r="N248" s="58" t="s">
        <v>234</v>
      </c>
      <c r="DF248" s="8" t="s">
        <v>514</v>
      </c>
    </row>
    <row r="249" spans="1:110" hidden="1" outlineLevel="1" x14ac:dyDescent="0.25">
      <c r="C249" s="57" t="str">
        <f>('Elenco Prezzi'!$B$35)</f>
        <v>Ceramica bianca per pavimetazione</v>
      </c>
      <c r="D249" s="70"/>
      <c r="E249" s="70"/>
      <c r="F249" s="70"/>
      <c r="G249" s="70"/>
      <c r="H249" s="69"/>
      <c r="I249" s="65"/>
      <c r="J249" s="65"/>
      <c r="DF249" s="8" t="s">
        <v>514</v>
      </c>
    </row>
    <row r="250" spans="1:110" hidden="1" outlineLevel="1" x14ac:dyDescent="0.25">
      <c r="C250" s="57" t="str">
        <f>('Elenco Prezzi'!$B$36)</f>
        <v>Ceramica bianca per pavimetazione</v>
      </c>
      <c r="D250" s="70"/>
      <c r="E250" s="70"/>
      <c r="F250" s="70"/>
      <c r="G250" s="70"/>
      <c r="H250" s="69"/>
      <c r="I250" s="65"/>
      <c r="J250" s="65"/>
      <c r="DF250" s="8" t="s">
        <v>514</v>
      </c>
    </row>
    <row r="251" spans="1:110" outlineLevel="1" x14ac:dyDescent="0.25">
      <c r="C251" s="59" t="s">
        <v>235</v>
      </c>
      <c r="D251" s="70"/>
      <c r="E251" s="70"/>
      <c r="F251" s="70"/>
      <c r="G251" s="70"/>
      <c r="H251" s="69"/>
      <c r="I251" s="65"/>
      <c r="J251" s="65"/>
      <c r="DF251" s="8" t="s">
        <v>514</v>
      </c>
    </row>
    <row r="252" spans="1:110" ht="31.5" outlineLevel="1" x14ac:dyDescent="0.25">
      <c r="C252" s="5" t="s">
        <v>238</v>
      </c>
      <c r="D252" s="70">
        <v>341.392</v>
      </c>
      <c r="E252" s="70"/>
      <c r="F252" s="70"/>
      <c r="G252" s="70">
        <v>0.02</v>
      </c>
      <c r="H252" s="69">
        <f>PRODUCT($CV$252,$CW$252,$CX$252,$CY$252)</f>
        <v>6.8278400000000001</v>
      </c>
      <c r="I252" s="65"/>
      <c r="J252" s="65"/>
      <c r="CV252" s="8">
        <f>(341.392)</f>
        <v>341.392</v>
      </c>
      <c r="CY252" s="8">
        <f>(0.02)</f>
        <v>0.02</v>
      </c>
      <c r="DF252" s="8" t="s">
        <v>514</v>
      </c>
    </row>
    <row r="253" spans="1:110" x14ac:dyDescent="0.25">
      <c r="C253" s="60" t="str">
        <f>CONCATENATE("SOMMANO " &amp; 'Elenco Prezzi'!$C$34)</f>
        <v>SOMMANO m3</v>
      </c>
      <c r="D253" s="70"/>
      <c r="E253" s="70"/>
      <c r="F253" s="70"/>
      <c r="G253" s="70"/>
      <c r="H253" s="69">
        <f>SUM($H$252:$H$252)</f>
        <v>6.8278400000000001</v>
      </c>
      <c r="I253" s="65">
        <f>('Elenco Prezzi'!$D$34)</f>
        <v>10</v>
      </c>
      <c r="J253" s="65">
        <f>PRODUCT($H$253,$I$253)</f>
        <v>68.278400000000005</v>
      </c>
      <c r="DF253" s="8" t="s">
        <v>514</v>
      </c>
    </row>
    <row r="254" spans="1:110" ht="31.5" x14ac:dyDescent="0.25">
      <c r="A254" s="3">
        <v>22</v>
      </c>
      <c r="B254" s="56" t="str">
        <f>('Elenco Prezzi'!$A$37)</f>
        <v>350.001</v>
      </c>
      <c r="C254" s="23" t="str">
        <f>('Elenco Prezzi'!$B$37)</f>
        <v>Zoccolino in plastica effetto legno</v>
      </c>
      <c r="D254" s="70"/>
      <c r="E254" s="70"/>
      <c r="F254" s="70"/>
      <c r="G254" s="70"/>
      <c r="H254" s="69"/>
      <c r="I254" s="65"/>
      <c r="J254" s="65"/>
      <c r="K254" s="58" t="s">
        <v>239</v>
      </c>
      <c r="L254" s="58" t="s">
        <v>232</v>
      </c>
      <c r="M254" s="58" t="s">
        <v>232</v>
      </c>
      <c r="N254" s="58" t="s">
        <v>234</v>
      </c>
      <c r="DF254" s="8" t="s">
        <v>514</v>
      </c>
    </row>
    <row r="255" spans="1:110" hidden="1" outlineLevel="1" x14ac:dyDescent="0.25">
      <c r="C255" s="57" t="str">
        <f>('Elenco Prezzi'!$B$38)</f>
        <v>Zoccolino in plastica effetto legno</v>
      </c>
      <c r="D255" s="70"/>
      <c r="E255" s="70"/>
      <c r="F255" s="70"/>
      <c r="G255" s="70"/>
      <c r="H255" s="69"/>
      <c r="I255" s="65"/>
      <c r="J255" s="65"/>
      <c r="DF255" s="8" t="s">
        <v>514</v>
      </c>
    </row>
    <row r="256" spans="1:110" hidden="1" outlineLevel="1" x14ac:dyDescent="0.25">
      <c r="C256" s="57" t="str">
        <f>('Elenco Prezzi'!$B$39)</f>
        <v>Zoccolino in plastica effetto legno</v>
      </c>
      <c r="D256" s="70"/>
      <c r="E256" s="70"/>
      <c r="F256" s="70"/>
      <c r="G256" s="70"/>
      <c r="H256" s="69"/>
      <c r="I256" s="65"/>
      <c r="J256" s="65"/>
      <c r="DF256" s="8" t="s">
        <v>514</v>
      </c>
    </row>
    <row r="257" spans="1:110" outlineLevel="1" x14ac:dyDescent="0.25">
      <c r="C257" s="59" t="s">
        <v>235</v>
      </c>
      <c r="D257" s="70"/>
      <c r="E257" s="70"/>
      <c r="F257" s="70"/>
      <c r="G257" s="70"/>
      <c r="H257" s="69"/>
      <c r="I257" s="65"/>
      <c r="J257" s="65"/>
      <c r="DF257" s="8" t="s">
        <v>514</v>
      </c>
    </row>
    <row r="258" spans="1:110" outlineLevel="1" x14ac:dyDescent="0.25">
      <c r="C258" s="5" t="s">
        <v>293</v>
      </c>
      <c r="D258" s="70"/>
      <c r="E258" s="70"/>
      <c r="F258" s="70"/>
      <c r="G258" s="70"/>
      <c r="H258" s="69"/>
      <c r="I258" s="65"/>
      <c r="J258" s="65"/>
      <c r="DF258" s="8" t="s">
        <v>514</v>
      </c>
    </row>
    <row r="259" spans="1:110" outlineLevel="1" x14ac:dyDescent="0.25">
      <c r="C259" s="5" t="s">
        <v>294</v>
      </c>
      <c r="D259" s="70"/>
      <c r="E259" s="70">
        <v>44.405000000000001</v>
      </c>
      <c r="F259" s="70"/>
      <c r="G259" s="70"/>
      <c r="H259" s="69">
        <f>PRODUCT($CV$259,$CW$259,$CX$259,$CY$259)</f>
        <v>44.405000000000001</v>
      </c>
      <c r="I259" s="65"/>
      <c r="J259" s="65"/>
      <c r="CW259" s="8">
        <f>(44.405)</f>
        <v>44.405000000000001</v>
      </c>
      <c r="DF259" s="8" t="s">
        <v>514</v>
      </c>
    </row>
    <row r="260" spans="1:110" outlineLevel="1" x14ac:dyDescent="0.25">
      <c r="C260" s="5" t="s">
        <v>295</v>
      </c>
      <c r="D260" s="70"/>
      <c r="E260" s="70">
        <v>48.319000000000003</v>
      </c>
      <c r="F260" s="70"/>
      <c r="G260" s="70"/>
      <c r="H260" s="69">
        <f>PRODUCT($CV$260,$CW$260,$CX$260,$CY$260)</f>
        <v>48.319000000000003</v>
      </c>
      <c r="I260" s="65"/>
      <c r="J260" s="65"/>
      <c r="CW260" s="8">
        <f>(48.319)</f>
        <v>48.319000000000003</v>
      </c>
      <c r="DF260" s="8" t="s">
        <v>514</v>
      </c>
    </row>
    <row r="261" spans="1:110" x14ac:dyDescent="0.25">
      <c r="C261" s="60" t="str">
        <f>CONCATENATE("SOMMANO " &amp; 'Elenco Prezzi'!$C$37)</f>
        <v>SOMMANO m</v>
      </c>
      <c r="D261" s="70"/>
      <c r="E261" s="70"/>
      <c r="F261" s="70"/>
      <c r="G261" s="70"/>
      <c r="H261" s="69">
        <f>SUM($H$258:$H$260)</f>
        <v>92.724000000000004</v>
      </c>
      <c r="I261" s="65">
        <f>('Elenco Prezzi'!$D$37)</f>
        <v>10</v>
      </c>
      <c r="J261" s="65">
        <f>PRODUCT($H$261,$I$261)</f>
        <v>927.24</v>
      </c>
      <c r="DF261" s="8" t="s">
        <v>514</v>
      </c>
    </row>
    <row r="262" spans="1:110" ht="31.5" x14ac:dyDescent="0.25">
      <c r="A262" s="3">
        <v>23</v>
      </c>
      <c r="B262" s="56" t="str">
        <f>('Elenco Prezzi'!$A$37)</f>
        <v>350.001</v>
      </c>
      <c r="C262" s="23" t="str">
        <f>('Elenco Prezzi'!$B$37)</f>
        <v>Zoccolino in plastica effetto legno</v>
      </c>
      <c r="D262" s="70"/>
      <c r="E262" s="70"/>
      <c r="F262" s="70"/>
      <c r="G262" s="70"/>
      <c r="H262" s="69"/>
      <c r="I262" s="65"/>
      <c r="J262" s="65"/>
      <c r="K262" s="58" t="s">
        <v>231</v>
      </c>
      <c r="L262" s="58" t="s">
        <v>232</v>
      </c>
      <c r="M262" s="58" t="s">
        <v>232</v>
      </c>
      <c r="N262" s="58" t="s">
        <v>234</v>
      </c>
      <c r="DF262" s="8" t="s">
        <v>514</v>
      </c>
    </row>
    <row r="263" spans="1:110" hidden="1" outlineLevel="1" x14ac:dyDescent="0.25">
      <c r="C263" s="57" t="str">
        <f>('Elenco Prezzi'!$B$38)</f>
        <v>Zoccolino in plastica effetto legno</v>
      </c>
      <c r="D263" s="70"/>
      <c r="E263" s="70"/>
      <c r="F263" s="70"/>
      <c r="G263" s="70"/>
      <c r="H263" s="69"/>
      <c r="I263" s="65"/>
      <c r="J263" s="65"/>
      <c r="DF263" s="8" t="s">
        <v>514</v>
      </c>
    </row>
    <row r="264" spans="1:110" hidden="1" outlineLevel="1" x14ac:dyDescent="0.25">
      <c r="C264" s="57" t="str">
        <f>('Elenco Prezzi'!$B$39)</f>
        <v>Zoccolino in plastica effetto legno</v>
      </c>
      <c r="D264" s="70"/>
      <c r="E264" s="70"/>
      <c r="F264" s="70"/>
      <c r="G264" s="70"/>
      <c r="H264" s="69"/>
      <c r="I264" s="65"/>
      <c r="J264" s="65"/>
      <c r="DF264" s="8" t="s">
        <v>514</v>
      </c>
    </row>
    <row r="265" spans="1:110" outlineLevel="1" x14ac:dyDescent="0.25">
      <c r="C265" s="59" t="s">
        <v>235</v>
      </c>
      <c r="D265" s="70"/>
      <c r="E265" s="70"/>
      <c r="F265" s="70"/>
      <c r="G265" s="70"/>
      <c r="H265" s="69"/>
      <c r="I265" s="65"/>
      <c r="J265" s="65"/>
      <c r="DF265" s="8" t="s">
        <v>514</v>
      </c>
    </row>
    <row r="266" spans="1:110" ht="31.5" outlineLevel="1" x14ac:dyDescent="0.25">
      <c r="A266" s="61"/>
      <c r="B266" s="62"/>
      <c r="C266" s="63" t="s">
        <v>290</v>
      </c>
      <c r="D266" s="71"/>
      <c r="E266" s="71">
        <v>1.5</v>
      </c>
      <c r="F266" s="71"/>
      <c r="G266" s="71"/>
      <c r="H266" s="72">
        <f>PRODUCT($CV$266,$CW$266,$CX$266,$CY$266) * -1</f>
        <v>-1.5</v>
      </c>
      <c r="I266" s="65"/>
      <c r="J266" s="65"/>
      <c r="CW266" s="8">
        <f>(1.5)</f>
        <v>1.5</v>
      </c>
      <c r="DF266" s="8" t="s">
        <v>514</v>
      </c>
    </row>
    <row r="267" spans="1:110" ht="31.5" outlineLevel="1" x14ac:dyDescent="0.25">
      <c r="A267" s="61"/>
      <c r="B267" s="62"/>
      <c r="C267" s="63" t="s">
        <v>291</v>
      </c>
      <c r="D267" s="71"/>
      <c r="E267" s="71">
        <v>2</v>
      </c>
      <c r="F267" s="71"/>
      <c r="G267" s="71"/>
      <c r="H267" s="72">
        <f>PRODUCT($CV$267,$CW$267,$CX$267,$CY$267) * -1</f>
        <v>-2</v>
      </c>
      <c r="I267" s="65"/>
      <c r="J267" s="65"/>
      <c r="CW267" s="8">
        <f>(2)</f>
        <v>2</v>
      </c>
      <c r="DF267" s="8" t="s">
        <v>514</v>
      </c>
    </row>
    <row r="268" spans="1:110" x14ac:dyDescent="0.25">
      <c r="C268" s="60" t="str">
        <f>CONCATENATE("SOMMANO " &amp; 'Elenco Prezzi'!$C$37)</f>
        <v>SOMMANO m</v>
      </c>
      <c r="D268" s="70"/>
      <c r="E268" s="70"/>
      <c r="F268" s="70"/>
      <c r="G268" s="70"/>
      <c r="H268" s="69">
        <f>SUM($H$266:$H$267)</f>
        <v>-3.5</v>
      </c>
      <c r="I268" s="65">
        <f>('Elenco Prezzi'!$D$37)</f>
        <v>10</v>
      </c>
      <c r="J268" s="65">
        <f>PRODUCT($H$268,$I$268)</f>
        <v>-35</v>
      </c>
      <c r="DF268" s="8" t="s">
        <v>514</v>
      </c>
    </row>
    <row r="269" spans="1:110" ht="31.5" x14ac:dyDescent="0.25">
      <c r="A269" s="3">
        <v>24</v>
      </c>
      <c r="B269" s="56" t="str">
        <f>('Elenco Prezzi'!$A$40)</f>
        <v>400.000</v>
      </c>
      <c r="C269" s="23" t="str">
        <f>('Elenco Prezzi'!$B$40)</f>
        <v>Estintore a schiuma rosso</v>
      </c>
      <c r="D269" s="70"/>
      <c r="E269" s="70"/>
      <c r="F269" s="70"/>
      <c r="G269" s="70"/>
      <c r="H269" s="69"/>
      <c r="I269" s="65"/>
      <c r="J269" s="65"/>
      <c r="K269" s="58" t="s">
        <v>239</v>
      </c>
      <c r="L269" s="58" t="s">
        <v>232</v>
      </c>
      <c r="M269" s="58" t="s">
        <v>232</v>
      </c>
      <c r="N269" s="58" t="s">
        <v>296</v>
      </c>
      <c r="DF269" s="8" t="s">
        <v>514</v>
      </c>
    </row>
    <row r="270" spans="1:110" hidden="1" outlineLevel="1" x14ac:dyDescent="0.25">
      <c r="C270" s="57" t="str">
        <f>('Elenco Prezzi'!$B$41)</f>
        <v>Estintore a schiuma rosso</v>
      </c>
      <c r="D270" s="70"/>
      <c r="E270" s="70"/>
      <c r="F270" s="70"/>
      <c r="G270" s="70"/>
      <c r="H270" s="69"/>
      <c r="I270" s="65"/>
      <c r="J270" s="65"/>
      <c r="DF270" s="8" t="s">
        <v>514</v>
      </c>
    </row>
    <row r="271" spans="1:110" hidden="1" outlineLevel="1" x14ac:dyDescent="0.25">
      <c r="C271" s="57" t="str">
        <f>('Elenco Prezzi'!$B$42)</f>
        <v>Estintore a schiuma rosso</v>
      </c>
      <c r="D271" s="70"/>
      <c r="E271" s="70"/>
      <c r="F271" s="70"/>
      <c r="G271" s="70"/>
      <c r="H271" s="69"/>
      <c r="I271" s="65"/>
      <c r="J271" s="65"/>
      <c r="DF271" s="8" t="s">
        <v>514</v>
      </c>
    </row>
    <row r="272" spans="1:110" outlineLevel="1" x14ac:dyDescent="0.25">
      <c r="C272" s="59" t="s">
        <v>235</v>
      </c>
      <c r="D272" s="70"/>
      <c r="E272" s="70"/>
      <c r="F272" s="70"/>
      <c r="G272" s="70"/>
      <c r="H272" s="69"/>
      <c r="I272" s="65"/>
      <c r="J272" s="65"/>
      <c r="DF272" s="8" t="s">
        <v>514</v>
      </c>
    </row>
    <row r="273" spans="1:110" outlineLevel="1" x14ac:dyDescent="0.25">
      <c r="C273" s="5" t="s">
        <v>297</v>
      </c>
      <c r="D273" s="70">
        <v>1</v>
      </c>
      <c r="E273" s="70"/>
      <c r="F273" s="70"/>
      <c r="G273" s="70"/>
      <c r="H273" s="69">
        <f>PRODUCT($CV$273,$CW$273,$CX$273,$CY$273)</f>
        <v>1</v>
      </c>
      <c r="I273" s="65"/>
      <c r="J273" s="65"/>
      <c r="CV273" s="8">
        <f>(1)</f>
        <v>1</v>
      </c>
      <c r="DF273" s="8" t="s">
        <v>514</v>
      </c>
    </row>
    <row r="274" spans="1:110" x14ac:dyDescent="0.25">
      <c r="C274" s="60" t="str">
        <f>CONCATENATE("SOMMANO " &amp; 'Elenco Prezzi'!$C$40)</f>
        <v>SOMMANO Cad. Uno</v>
      </c>
      <c r="D274" s="70"/>
      <c r="E274" s="70"/>
      <c r="F274" s="70"/>
      <c r="G274" s="70"/>
      <c r="H274" s="69">
        <f>SUM($H$273:$H$273)</f>
        <v>1</v>
      </c>
      <c r="I274" s="65">
        <f>('Elenco Prezzi'!$D$40)</f>
        <v>73</v>
      </c>
      <c r="J274" s="65">
        <f>PRODUCT($H$274,$I$274)</f>
        <v>73</v>
      </c>
      <c r="DF274" s="8" t="s">
        <v>514</v>
      </c>
    </row>
    <row r="275" spans="1:110" ht="31.5" x14ac:dyDescent="0.25">
      <c r="A275" s="3">
        <v>25</v>
      </c>
      <c r="B275" s="56" t="str">
        <f>('Elenco Prezzi'!$A$40)</f>
        <v>400.000</v>
      </c>
      <c r="C275" s="23" t="str">
        <f>('Elenco Prezzi'!$B$40)</f>
        <v>Estintore a schiuma rosso</v>
      </c>
      <c r="D275" s="70"/>
      <c r="E275" s="70"/>
      <c r="F275" s="70"/>
      <c r="G275" s="70"/>
      <c r="H275" s="69"/>
      <c r="I275" s="65"/>
      <c r="J275" s="65"/>
      <c r="K275" s="58" t="s">
        <v>239</v>
      </c>
      <c r="L275" s="58" t="s">
        <v>232</v>
      </c>
      <c r="M275" s="58" t="s">
        <v>232</v>
      </c>
      <c r="N275" s="58" t="s">
        <v>298</v>
      </c>
      <c r="DF275" s="8" t="s">
        <v>514</v>
      </c>
    </row>
    <row r="276" spans="1:110" hidden="1" outlineLevel="1" x14ac:dyDescent="0.25">
      <c r="C276" s="57" t="str">
        <f>('Elenco Prezzi'!$B$41)</f>
        <v>Estintore a schiuma rosso</v>
      </c>
      <c r="D276" s="70"/>
      <c r="E276" s="70"/>
      <c r="F276" s="70"/>
      <c r="G276" s="70"/>
      <c r="H276" s="69"/>
      <c r="I276" s="65"/>
      <c r="J276" s="65"/>
      <c r="DF276" s="8" t="s">
        <v>514</v>
      </c>
    </row>
    <row r="277" spans="1:110" hidden="1" outlineLevel="1" x14ac:dyDescent="0.25">
      <c r="C277" s="57" t="str">
        <f>('Elenco Prezzi'!$B$42)</f>
        <v>Estintore a schiuma rosso</v>
      </c>
      <c r="D277" s="70"/>
      <c r="E277" s="70"/>
      <c r="F277" s="70"/>
      <c r="G277" s="70"/>
      <c r="H277" s="69"/>
      <c r="I277" s="65"/>
      <c r="J277" s="65"/>
      <c r="DF277" s="8" t="s">
        <v>514</v>
      </c>
    </row>
    <row r="278" spans="1:110" outlineLevel="1" x14ac:dyDescent="0.25">
      <c r="C278" s="59" t="s">
        <v>235</v>
      </c>
      <c r="D278" s="70"/>
      <c r="E278" s="70"/>
      <c r="F278" s="70"/>
      <c r="G278" s="70"/>
      <c r="H278" s="69"/>
      <c r="I278" s="65"/>
      <c r="J278" s="65"/>
      <c r="DF278" s="8" t="s">
        <v>514</v>
      </c>
    </row>
    <row r="279" spans="1:110" outlineLevel="1" x14ac:dyDescent="0.25">
      <c r="C279" s="5" t="s">
        <v>299</v>
      </c>
      <c r="D279" s="70">
        <v>1</v>
      </c>
      <c r="E279" s="70"/>
      <c r="F279" s="70"/>
      <c r="G279" s="70"/>
      <c r="H279" s="69">
        <f>PRODUCT($CV$279,$CW$279,$CX$279,$CY$279)</f>
        <v>1</v>
      </c>
      <c r="I279" s="65"/>
      <c r="J279" s="65"/>
      <c r="CV279" s="8">
        <f>(1)</f>
        <v>1</v>
      </c>
      <c r="DF279" s="8" t="s">
        <v>514</v>
      </c>
    </row>
    <row r="280" spans="1:110" x14ac:dyDescent="0.25">
      <c r="C280" s="60" t="str">
        <f>CONCATENATE("SOMMANO " &amp; 'Elenco Prezzi'!$C$40)</f>
        <v>SOMMANO Cad. Uno</v>
      </c>
      <c r="D280" s="70"/>
      <c r="E280" s="70"/>
      <c r="F280" s="70"/>
      <c r="G280" s="70"/>
      <c r="H280" s="69">
        <f>SUM($H$279:$H$279)</f>
        <v>1</v>
      </c>
      <c r="I280" s="65">
        <f>('Elenco Prezzi'!$D$40)</f>
        <v>73</v>
      </c>
      <c r="J280" s="65">
        <f>PRODUCT($H$280,$I$280)</f>
        <v>73</v>
      </c>
      <c r="DF280" s="8" t="s">
        <v>514</v>
      </c>
    </row>
    <row r="281" spans="1:110" ht="31.5" x14ac:dyDescent="0.25">
      <c r="A281" s="3">
        <v>26</v>
      </c>
      <c r="B281" s="56" t="str">
        <f>('Elenco Prezzi'!$A$40)</f>
        <v>400.000</v>
      </c>
      <c r="C281" s="23" t="str">
        <f>('Elenco Prezzi'!$B$40)</f>
        <v>Estintore a schiuma rosso</v>
      </c>
      <c r="D281" s="70"/>
      <c r="E281" s="70"/>
      <c r="F281" s="70"/>
      <c r="G281" s="70"/>
      <c r="H281" s="69"/>
      <c r="I281" s="65"/>
      <c r="J281" s="65"/>
      <c r="K281" s="58" t="s">
        <v>231</v>
      </c>
      <c r="L281" s="58" t="s">
        <v>232</v>
      </c>
      <c r="M281" s="58" t="s">
        <v>232</v>
      </c>
      <c r="N281" s="58" t="s">
        <v>300</v>
      </c>
      <c r="DF281" s="8" t="s">
        <v>514</v>
      </c>
    </row>
    <row r="282" spans="1:110" hidden="1" outlineLevel="1" x14ac:dyDescent="0.25">
      <c r="C282" s="57" t="str">
        <f>('Elenco Prezzi'!$B$41)</f>
        <v>Estintore a schiuma rosso</v>
      </c>
      <c r="D282" s="70"/>
      <c r="E282" s="70"/>
      <c r="F282" s="70"/>
      <c r="G282" s="70"/>
      <c r="H282" s="69"/>
      <c r="I282" s="65"/>
      <c r="J282" s="65"/>
      <c r="DF282" s="8" t="s">
        <v>514</v>
      </c>
    </row>
    <row r="283" spans="1:110" hidden="1" outlineLevel="1" x14ac:dyDescent="0.25">
      <c r="C283" s="57" t="str">
        <f>('Elenco Prezzi'!$B$42)</f>
        <v>Estintore a schiuma rosso</v>
      </c>
      <c r="D283" s="70"/>
      <c r="E283" s="70"/>
      <c r="F283" s="70"/>
      <c r="G283" s="70"/>
      <c r="H283" s="69"/>
      <c r="I283" s="65"/>
      <c r="J283" s="65"/>
      <c r="DF283" s="8" t="s">
        <v>514</v>
      </c>
    </row>
    <row r="284" spans="1:110" outlineLevel="1" x14ac:dyDescent="0.25">
      <c r="C284" s="59" t="s">
        <v>235</v>
      </c>
      <c r="D284" s="70"/>
      <c r="E284" s="70"/>
      <c r="F284" s="70"/>
      <c r="G284" s="70"/>
      <c r="H284" s="69"/>
      <c r="I284" s="65"/>
      <c r="J284" s="65"/>
      <c r="DF284" s="8" t="s">
        <v>514</v>
      </c>
    </row>
    <row r="285" spans="1:110" outlineLevel="1" x14ac:dyDescent="0.25">
      <c r="C285" s="5" t="s">
        <v>301</v>
      </c>
      <c r="D285" s="70">
        <v>1</v>
      </c>
      <c r="E285" s="70"/>
      <c r="F285" s="70"/>
      <c r="G285" s="70"/>
      <c r="H285" s="69">
        <f>PRODUCT($CV$285,$CW$285,$CX$285,$CY$285)</f>
        <v>1</v>
      </c>
      <c r="I285" s="65"/>
      <c r="J285" s="65"/>
      <c r="CV285" s="8">
        <f>(1)</f>
        <v>1</v>
      </c>
      <c r="DF285" s="8" t="s">
        <v>514</v>
      </c>
    </row>
    <row r="286" spans="1:110" x14ac:dyDescent="0.25">
      <c r="C286" s="60" t="str">
        <f>CONCATENATE("SOMMANO " &amp; 'Elenco Prezzi'!$C$40)</f>
        <v>SOMMANO Cad. Uno</v>
      </c>
      <c r="D286" s="70"/>
      <c r="E286" s="70"/>
      <c r="F286" s="70"/>
      <c r="G286" s="70"/>
      <c r="H286" s="69">
        <f>SUM($H$285:$H$285)</f>
        <v>1</v>
      </c>
      <c r="I286" s="65">
        <f>('Elenco Prezzi'!$D$40)</f>
        <v>73</v>
      </c>
      <c r="J286" s="65">
        <f>PRODUCT($H$286,$I$286)</f>
        <v>73</v>
      </c>
      <c r="DF286" s="8" t="s">
        <v>514</v>
      </c>
    </row>
    <row r="287" spans="1:110" ht="31.5" x14ac:dyDescent="0.25">
      <c r="A287" s="3">
        <v>27</v>
      </c>
      <c r="B287" s="56" t="str">
        <f>('Elenco Prezzi'!$A$40)</f>
        <v>400.000</v>
      </c>
      <c r="C287" s="23" t="str">
        <f>('Elenco Prezzi'!$B$40)</f>
        <v>Estintore a schiuma rosso</v>
      </c>
      <c r="D287" s="70"/>
      <c r="E287" s="70"/>
      <c r="F287" s="70"/>
      <c r="G287" s="70"/>
      <c r="H287" s="69"/>
      <c r="I287" s="65"/>
      <c r="J287" s="65"/>
      <c r="K287" s="58" t="s">
        <v>231</v>
      </c>
      <c r="L287" s="58" t="s">
        <v>232</v>
      </c>
      <c r="M287" s="58" t="s">
        <v>232</v>
      </c>
      <c r="N287" s="58" t="s">
        <v>302</v>
      </c>
      <c r="DF287" s="8" t="s">
        <v>514</v>
      </c>
    </row>
    <row r="288" spans="1:110" hidden="1" outlineLevel="1" x14ac:dyDescent="0.25">
      <c r="C288" s="57" t="str">
        <f>('Elenco Prezzi'!$B$41)</f>
        <v>Estintore a schiuma rosso</v>
      </c>
      <c r="D288" s="70"/>
      <c r="E288" s="70"/>
      <c r="F288" s="70"/>
      <c r="G288" s="70"/>
      <c r="H288" s="69"/>
      <c r="I288" s="65"/>
      <c r="J288" s="65"/>
      <c r="DF288" s="8" t="s">
        <v>514</v>
      </c>
    </row>
    <row r="289" spans="1:110" hidden="1" outlineLevel="1" x14ac:dyDescent="0.25">
      <c r="C289" s="57" t="str">
        <f>('Elenco Prezzi'!$B$42)</f>
        <v>Estintore a schiuma rosso</v>
      </c>
      <c r="D289" s="70"/>
      <c r="E289" s="70"/>
      <c r="F289" s="70"/>
      <c r="G289" s="70"/>
      <c r="H289" s="69"/>
      <c r="I289" s="65"/>
      <c r="J289" s="65"/>
      <c r="DF289" s="8" t="s">
        <v>514</v>
      </c>
    </row>
    <row r="290" spans="1:110" outlineLevel="1" x14ac:dyDescent="0.25">
      <c r="C290" s="59" t="s">
        <v>235</v>
      </c>
      <c r="D290" s="70"/>
      <c r="E290" s="70"/>
      <c r="F290" s="70"/>
      <c r="G290" s="70"/>
      <c r="H290" s="69"/>
      <c r="I290" s="65"/>
      <c r="J290" s="65"/>
      <c r="DF290" s="8" t="s">
        <v>514</v>
      </c>
    </row>
    <row r="291" spans="1:110" outlineLevel="1" x14ac:dyDescent="0.25">
      <c r="C291" s="5" t="s">
        <v>303</v>
      </c>
      <c r="D291" s="70">
        <v>1</v>
      </c>
      <c r="E291" s="70"/>
      <c r="F291" s="70"/>
      <c r="G291" s="70"/>
      <c r="H291" s="69">
        <f>PRODUCT($CV$291,$CW$291,$CX$291,$CY$291)</f>
        <v>1</v>
      </c>
      <c r="I291" s="65"/>
      <c r="J291" s="65"/>
      <c r="CV291" s="8">
        <f>(1)</f>
        <v>1</v>
      </c>
      <c r="DF291" s="8" t="s">
        <v>514</v>
      </c>
    </row>
    <row r="292" spans="1:110" x14ac:dyDescent="0.25">
      <c r="C292" s="60" t="str">
        <f>CONCATENATE("SOMMANO " &amp; 'Elenco Prezzi'!$C$40)</f>
        <v>SOMMANO Cad. Uno</v>
      </c>
      <c r="D292" s="70"/>
      <c r="E292" s="70"/>
      <c r="F292" s="70"/>
      <c r="G292" s="70"/>
      <c r="H292" s="69">
        <f>SUM($H$291:$H$291)</f>
        <v>1</v>
      </c>
      <c r="I292" s="65">
        <f>('Elenco Prezzi'!$D$40)</f>
        <v>73</v>
      </c>
      <c r="J292" s="65">
        <f>PRODUCT($H$292,$I$292)</f>
        <v>73</v>
      </c>
      <c r="DF292" s="8" t="s">
        <v>514</v>
      </c>
    </row>
    <row r="293" spans="1:110" ht="31.5" x14ac:dyDescent="0.25">
      <c r="A293" s="3">
        <v>28</v>
      </c>
      <c r="B293" s="56" t="str">
        <f>('Elenco Prezzi'!$A$40)</f>
        <v>400.000</v>
      </c>
      <c r="C293" s="23" t="str">
        <f>('Elenco Prezzi'!$B$40)</f>
        <v>Estintore a schiuma rosso</v>
      </c>
      <c r="D293" s="70"/>
      <c r="E293" s="70"/>
      <c r="F293" s="70"/>
      <c r="G293" s="70"/>
      <c r="H293" s="69"/>
      <c r="I293" s="65"/>
      <c r="J293" s="65"/>
      <c r="K293" s="58" t="s">
        <v>231</v>
      </c>
      <c r="L293" s="58" t="s">
        <v>232</v>
      </c>
      <c r="M293" s="58" t="s">
        <v>232</v>
      </c>
      <c r="N293" s="58" t="s">
        <v>304</v>
      </c>
      <c r="DF293" s="8" t="s">
        <v>514</v>
      </c>
    </row>
    <row r="294" spans="1:110" hidden="1" outlineLevel="1" x14ac:dyDescent="0.25">
      <c r="C294" s="57" t="str">
        <f>('Elenco Prezzi'!$B$41)</f>
        <v>Estintore a schiuma rosso</v>
      </c>
      <c r="D294" s="70"/>
      <c r="E294" s="70"/>
      <c r="F294" s="70"/>
      <c r="G294" s="70"/>
      <c r="H294" s="69"/>
      <c r="I294" s="65"/>
      <c r="J294" s="65"/>
      <c r="DF294" s="8" t="s">
        <v>514</v>
      </c>
    </row>
    <row r="295" spans="1:110" hidden="1" outlineLevel="1" x14ac:dyDescent="0.25">
      <c r="C295" s="57" t="str">
        <f>('Elenco Prezzi'!$B$42)</f>
        <v>Estintore a schiuma rosso</v>
      </c>
      <c r="D295" s="70"/>
      <c r="E295" s="70"/>
      <c r="F295" s="70"/>
      <c r="G295" s="70"/>
      <c r="H295" s="69"/>
      <c r="I295" s="65"/>
      <c r="J295" s="65"/>
      <c r="DF295" s="8" t="s">
        <v>514</v>
      </c>
    </row>
    <row r="296" spans="1:110" outlineLevel="1" x14ac:dyDescent="0.25">
      <c r="C296" s="59" t="s">
        <v>235</v>
      </c>
      <c r="D296" s="70"/>
      <c r="E296" s="70"/>
      <c r="F296" s="70"/>
      <c r="G296" s="70"/>
      <c r="H296" s="69"/>
      <c r="I296" s="65"/>
      <c r="J296" s="65"/>
      <c r="DF296" s="8" t="s">
        <v>514</v>
      </c>
    </row>
    <row r="297" spans="1:110" outlineLevel="1" x14ac:dyDescent="0.25">
      <c r="C297" s="5" t="s">
        <v>305</v>
      </c>
      <c r="D297" s="70">
        <v>1</v>
      </c>
      <c r="E297" s="70"/>
      <c r="F297" s="70"/>
      <c r="G297" s="70"/>
      <c r="H297" s="69">
        <f>PRODUCT($CV$297,$CW$297,$CX$297,$CY$297)</f>
        <v>1</v>
      </c>
      <c r="I297" s="65"/>
      <c r="J297" s="65"/>
      <c r="CV297" s="8">
        <f>(1)</f>
        <v>1</v>
      </c>
      <c r="DF297" s="8" t="s">
        <v>514</v>
      </c>
    </row>
    <row r="298" spans="1:110" x14ac:dyDescent="0.25">
      <c r="C298" s="60" t="str">
        <f>CONCATENATE("SOMMANO " &amp; 'Elenco Prezzi'!$C$40)</f>
        <v>SOMMANO Cad. Uno</v>
      </c>
      <c r="D298" s="70"/>
      <c r="E298" s="70"/>
      <c r="F298" s="70"/>
      <c r="G298" s="70"/>
      <c r="H298" s="69">
        <f>SUM($H$297:$H$297)</f>
        <v>1</v>
      </c>
      <c r="I298" s="65">
        <f>('Elenco Prezzi'!$D$40)</f>
        <v>73</v>
      </c>
      <c r="J298" s="65">
        <f>PRODUCT($H$298,$I$298)</f>
        <v>73</v>
      </c>
      <c r="DF298" s="8" t="s">
        <v>514</v>
      </c>
    </row>
    <row r="299" spans="1:110" ht="31.5" x14ac:dyDescent="0.25">
      <c r="A299" s="3">
        <v>29</v>
      </c>
      <c r="B299" s="56" t="str">
        <f>('Elenco Prezzi'!$A$43)</f>
        <v>400.001</v>
      </c>
      <c r="C299" s="23" t="str">
        <f>('Elenco Prezzi'!$B$43)</f>
        <v>Manichetta anticendio a bobina</v>
      </c>
      <c r="D299" s="70"/>
      <c r="E299" s="70"/>
      <c r="F299" s="70"/>
      <c r="G299" s="70"/>
      <c r="H299" s="69"/>
      <c r="I299" s="65"/>
      <c r="J299" s="65"/>
      <c r="K299" s="58" t="s">
        <v>239</v>
      </c>
      <c r="L299" s="58" t="s">
        <v>232</v>
      </c>
      <c r="M299" s="58" t="s">
        <v>232</v>
      </c>
      <c r="N299" s="58" t="s">
        <v>306</v>
      </c>
      <c r="DF299" s="8" t="s">
        <v>514</v>
      </c>
    </row>
    <row r="300" spans="1:110" hidden="1" outlineLevel="1" x14ac:dyDescent="0.25">
      <c r="C300" s="57" t="str">
        <f>('Elenco Prezzi'!$B$44)</f>
        <v>Manichetta anticendio a bobina</v>
      </c>
      <c r="D300" s="70"/>
      <c r="E300" s="70"/>
      <c r="F300" s="70"/>
      <c r="G300" s="70"/>
      <c r="H300" s="69"/>
      <c r="I300" s="65"/>
      <c r="J300" s="65"/>
      <c r="DF300" s="8" t="s">
        <v>514</v>
      </c>
    </row>
    <row r="301" spans="1:110" hidden="1" outlineLevel="1" x14ac:dyDescent="0.25">
      <c r="C301" s="57" t="str">
        <f>('Elenco Prezzi'!$B$45)</f>
        <v>Manichetta anticendio a bobina</v>
      </c>
      <c r="D301" s="70"/>
      <c r="E301" s="70"/>
      <c r="F301" s="70"/>
      <c r="G301" s="70"/>
      <c r="H301" s="69"/>
      <c r="I301" s="65"/>
      <c r="J301" s="65"/>
      <c r="DF301" s="8" t="s">
        <v>514</v>
      </c>
    </row>
    <row r="302" spans="1:110" outlineLevel="1" x14ac:dyDescent="0.25">
      <c r="C302" s="59" t="s">
        <v>235</v>
      </c>
      <c r="D302" s="70"/>
      <c r="E302" s="70"/>
      <c r="F302" s="70"/>
      <c r="G302" s="70"/>
      <c r="H302" s="69"/>
      <c r="I302" s="65"/>
      <c r="J302" s="65"/>
      <c r="DF302" s="8" t="s">
        <v>514</v>
      </c>
    </row>
    <row r="303" spans="1:110" ht="31.5" outlineLevel="1" x14ac:dyDescent="0.25">
      <c r="C303" s="5" t="s">
        <v>307</v>
      </c>
      <c r="D303" s="70">
        <v>1</v>
      </c>
      <c r="E303" s="70"/>
      <c r="F303" s="70"/>
      <c r="G303" s="70"/>
      <c r="H303" s="69">
        <f>PRODUCT($CV$303,$CW$303,$CX$303,$CY$303)</f>
        <v>1</v>
      </c>
      <c r="I303" s="65"/>
      <c r="J303" s="65"/>
      <c r="CV303" s="8">
        <f>(1)</f>
        <v>1</v>
      </c>
      <c r="DF303" s="8" t="s">
        <v>514</v>
      </c>
    </row>
    <row r="304" spans="1:110" x14ac:dyDescent="0.25">
      <c r="C304" s="60" t="str">
        <f>CONCATENATE("SOMMANO " &amp; 'Elenco Prezzi'!$C$43)</f>
        <v>SOMMANO Cad. Uno</v>
      </c>
      <c r="D304" s="70"/>
      <c r="E304" s="70"/>
      <c r="F304" s="70"/>
      <c r="G304" s="70"/>
      <c r="H304" s="69">
        <f>SUM($H$303:$H$303)</f>
        <v>1</v>
      </c>
      <c r="I304" s="65">
        <f>('Elenco Prezzi'!$D$43)</f>
        <v>179</v>
      </c>
      <c r="J304" s="65">
        <f>PRODUCT($H$304,$I$304)</f>
        <v>179</v>
      </c>
      <c r="DF304" s="8" t="s">
        <v>514</v>
      </c>
    </row>
    <row r="305" spans="1:110" ht="31.5" x14ac:dyDescent="0.25">
      <c r="A305" s="3">
        <v>30</v>
      </c>
      <c r="B305" s="56" t="str">
        <f>('Elenco Prezzi'!$A$43)</f>
        <v>400.001</v>
      </c>
      <c r="C305" s="23" t="str">
        <f>('Elenco Prezzi'!$B$43)</f>
        <v>Manichetta anticendio a bobina</v>
      </c>
      <c r="D305" s="70"/>
      <c r="E305" s="70"/>
      <c r="F305" s="70"/>
      <c r="G305" s="70"/>
      <c r="H305" s="69"/>
      <c r="I305" s="65"/>
      <c r="J305" s="65"/>
      <c r="K305" s="58" t="s">
        <v>239</v>
      </c>
      <c r="L305" s="58" t="s">
        <v>232</v>
      </c>
      <c r="M305" s="58" t="s">
        <v>232</v>
      </c>
      <c r="N305" s="58" t="s">
        <v>308</v>
      </c>
      <c r="DF305" s="8" t="s">
        <v>514</v>
      </c>
    </row>
    <row r="306" spans="1:110" hidden="1" outlineLevel="1" x14ac:dyDescent="0.25">
      <c r="C306" s="57" t="str">
        <f>('Elenco Prezzi'!$B$44)</f>
        <v>Manichetta anticendio a bobina</v>
      </c>
      <c r="D306" s="70"/>
      <c r="E306" s="70"/>
      <c r="F306" s="70"/>
      <c r="G306" s="70"/>
      <c r="H306" s="69"/>
      <c r="I306" s="65"/>
      <c r="J306" s="65"/>
      <c r="DF306" s="8" t="s">
        <v>514</v>
      </c>
    </row>
    <row r="307" spans="1:110" hidden="1" outlineLevel="1" x14ac:dyDescent="0.25">
      <c r="C307" s="57" t="str">
        <f>('Elenco Prezzi'!$B$45)</f>
        <v>Manichetta anticendio a bobina</v>
      </c>
      <c r="D307" s="70"/>
      <c r="E307" s="70"/>
      <c r="F307" s="70"/>
      <c r="G307" s="70"/>
      <c r="H307" s="69"/>
      <c r="I307" s="65"/>
      <c r="J307" s="65"/>
      <c r="DF307" s="8" t="s">
        <v>514</v>
      </c>
    </row>
    <row r="308" spans="1:110" outlineLevel="1" x14ac:dyDescent="0.25">
      <c r="C308" s="59" t="s">
        <v>235</v>
      </c>
      <c r="D308" s="70"/>
      <c r="E308" s="70"/>
      <c r="F308" s="70"/>
      <c r="G308" s="70"/>
      <c r="H308" s="69"/>
      <c r="I308" s="65"/>
      <c r="J308" s="65"/>
      <c r="DF308" s="8" t="s">
        <v>514</v>
      </c>
    </row>
    <row r="309" spans="1:110" ht="31.5" outlineLevel="1" x14ac:dyDescent="0.25">
      <c r="C309" s="5" t="s">
        <v>309</v>
      </c>
      <c r="D309" s="70">
        <v>1</v>
      </c>
      <c r="E309" s="70"/>
      <c r="F309" s="70"/>
      <c r="G309" s="70"/>
      <c r="H309" s="69">
        <f>PRODUCT($CV$309,$CW$309,$CX$309,$CY$309)</f>
        <v>1</v>
      </c>
      <c r="I309" s="65"/>
      <c r="J309" s="65"/>
      <c r="CV309" s="8">
        <f>(1)</f>
        <v>1</v>
      </c>
      <c r="DF309" s="8" t="s">
        <v>514</v>
      </c>
    </row>
    <row r="310" spans="1:110" x14ac:dyDescent="0.25">
      <c r="C310" s="60" t="str">
        <f>CONCATENATE("SOMMANO " &amp; 'Elenco Prezzi'!$C$43)</f>
        <v>SOMMANO Cad. Uno</v>
      </c>
      <c r="D310" s="70"/>
      <c r="E310" s="70"/>
      <c r="F310" s="70"/>
      <c r="G310" s="70"/>
      <c r="H310" s="69">
        <f>SUM($H$309:$H$309)</f>
        <v>1</v>
      </c>
      <c r="I310" s="65">
        <f>('Elenco Prezzi'!$D$43)</f>
        <v>179</v>
      </c>
      <c r="J310" s="65">
        <f>PRODUCT($H$310,$I$310)</f>
        <v>179</v>
      </c>
      <c r="DF310" s="8" t="s">
        <v>514</v>
      </c>
    </row>
    <row r="311" spans="1:110" ht="31.5" x14ac:dyDescent="0.25">
      <c r="A311" s="3">
        <v>31</v>
      </c>
      <c r="B311" s="56" t="str">
        <f>('Elenco Prezzi'!$A$43)</f>
        <v>400.001</v>
      </c>
      <c r="C311" s="23" t="str">
        <f>('Elenco Prezzi'!$B$43)</f>
        <v>Manichetta anticendio a bobina</v>
      </c>
      <c r="D311" s="70"/>
      <c r="E311" s="70"/>
      <c r="F311" s="70"/>
      <c r="G311" s="70"/>
      <c r="H311" s="69"/>
      <c r="I311" s="65"/>
      <c r="J311" s="65"/>
      <c r="K311" s="58" t="s">
        <v>231</v>
      </c>
      <c r="L311" s="58" t="s">
        <v>232</v>
      </c>
      <c r="M311" s="58" t="s">
        <v>232</v>
      </c>
      <c r="N311" s="58" t="s">
        <v>310</v>
      </c>
      <c r="DF311" s="8" t="s">
        <v>514</v>
      </c>
    </row>
    <row r="312" spans="1:110" hidden="1" outlineLevel="1" x14ac:dyDescent="0.25">
      <c r="C312" s="57" t="str">
        <f>('Elenco Prezzi'!$B$44)</f>
        <v>Manichetta anticendio a bobina</v>
      </c>
      <c r="D312" s="70"/>
      <c r="E312" s="70"/>
      <c r="F312" s="70"/>
      <c r="G312" s="70"/>
      <c r="H312" s="69"/>
      <c r="I312" s="65"/>
      <c r="J312" s="65"/>
      <c r="DF312" s="8" t="s">
        <v>514</v>
      </c>
    </row>
    <row r="313" spans="1:110" hidden="1" outlineLevel="1" x14ac:dyDescent="0.25">
      <c r="C313" s="57" t="str">
        <f>('Elenco Prezzi'!$B$45)</f>
        <v>Manichetta anticendio a bobina</v>
      </c>
      <c r="D313" s="70"/>
      <c r="E313" s="70"/>
      <c r="F313" s="70"/>
      <c r="G313" s="70"/>
      <c r="H313" s="69"/>
      <c r="I313" s="65"/>
      <c r="J313" s="65"/>
      <c r="DF313" s="8" t="s">
        <v>514</v>
      </c>
    </row>
    <row r="314" spans="1:110" outlineLevel="1" x14ac:dyDescent="0.25">
      <c r="C314" s="59" t="s">
        <v>235</v>
      </c>
      <c r="D314" s="70"/>
      <c r="E314" s="70"/>
      <c r="F314" s="70"/>
      <c r="G314" s="70"/>
      <c r="H314" s="69"/>
      <c r="I314" s="65"/>
      <c r="J314" s="65"/>
      <c r="DF314" s="8" t="s">
        <v>514</v>
      </c>
    </row>
    <row r="315" spans="1:110" ht="31.5" outlineLevel="1" x14ac:dyDescent="0.25">
      <c r="C315" s="5" t="s">
        <v>311</v>
      </c>
      <c r="D315" s="70">
        <v>1</v>
      </c>
      <c r="E315" s="70"/>
      <c r="F315" s="70"/>
      <c r="G315" s="70"/>
      <c r="H315" s="69">
        <f>PRODUCT($CV$315,$CW$315,$CX$315,$CY$315)</f>
        <v>1</v>
      </c>
      <c r="I315" s="65"/>
      <c r="J315" s="65"/>
      <c r="CV315" s="8">
        <f>(1)</f>
        <v>1</v>
      </c>
      <c r="DF315" s="8" t="s">
        <v>514</v>
      </c>
    </row>
    <row r="316" spans="1:110" ht="31.5" outlineLevel="1" x14ac:dyDescent="0.25">
      <c r="C316" s="5" t="s">
        <v>312</v>
      </c>
      <c r="D316" s="70">
        <v>1</v>
      </c>
      <c r="E316" s="70"/>
      <c r="F316" s="70"/>
      <c r="G316" s="70"/>
      <c r="H316" s="69">
        <f>PRODUCT($CV$316,$CW$316,$CX$316,$CY$316)</f>
        <v>1</v>
      </c>
      <c r="I316" s="65"/>
      <c r="J316" s="65"/>
      <c r="CV316" s="8">
        <f>(1)</f>
        <v>1</v>
      </c>
      <c r="DF316" s="8" t="s">
        <v>514</v>
      </c>
    </row>
    <row r="317" spans="1:110" x14ac:dyDescent="0.25">
      <c r="C317" s="60" t="str">
        <f>CONCATENATE("SOMMANO " &amp; 'Elenco Prezzi'!$C$43)</f>
        <v>SOMMANO Cad. Uno</v>
      </c>
      <c r="D317" s="70"/>
      <c r="E317" s="70"/>
      <c r="F317" s="70"/>
      <c r="G317" s="70"/>
      <c r="H317" s="69">
        <f>SUM($H$315:$H$316)</f>
        <v>2</v>
      </c>
      <c r="I317" s="65">
        <f>('Elenco Prezzi'!$D$43)</f>
        <v>179</v>
      </c>
      <c r="J317" s="65">
        <f>PRODUCT($H$317,$I$317)</f>
        <v>358</v>
      </c>
      <c r="DF317" s="8" t="s">
        <v>514</v>
      </c>
    </row>
    <row r="318" spans="1:110" ht="31.5" x14ac:dyDescent="0.25">
      <c r="A318" s="3">
        <v>32</v>
      </c>
      <c r="B318" s="56" t="str">
        <f>('Elenco Prezzi'!$A$43)</f>
        <v>400.001</v>
      </c>
      <c r="C318" s="23" t="str">
        <f>('Elenco Prezzi'!$B$43)</f>
        <v>Manichetta anticendio a bobina</v>
      </c>
      <c r="D318" s="70"/>
      <c r="E318" s="70"/>
      <c r="F318" s="70"/>
      <c r="G318" s="70"/>
      <c r="H318" s="69"/>
      <c r="I318" s="65"/>
      <c r="J318" s="65"/>
      <c r="K318" s="58" t="s">
        <v>231</v>
      </c>
      <c r="L318" s="58" t="s">
        <v>232</v>
      </c>
      <c r="M318" s="58" t="s">
        <v>232</v>
      </c>
      <c r="N318" s="58" t="s">
        <v>313</v>
      </c>
      <c r="DF318" s="8" t="s">
        <v>514</v>
      </c>
    </row>
    <row r="319" spans="1:110" hidden="1" outlineLevel="1" x14ac:dyDescent="0.25">
      <c r="C319" s="57" t="str">
        <f>('Elenco Prezzi'!$B$44)</f>
        <v>Manichetta anticendio a bobina</v>
      </c>
      <c r="D319" s="70"/>
      <c r="E319" s="70"/>
      <c r="F319" s="70"/>
      <c r="G319" s="70"/>
      <c r="H319" s="69"/>
      <c r="I319" s="65"/>
      <c r="J319" s="65"/>
      <c r="DF319" s="8" t="s">
        <v>514</v>
      </c>
    </row>
    <row r="320" spans="1:110" hidden="1" outlineLevel="1" x14ac:dyDescent="0.25">
      <c r="C320" s="57" t="str">
        <f>('Elenco Prezzi'!$B$45)</f>
        <v>Manichetta anticendio a bobina</v>
      </c>
      <c r="D320" s="70"/>
      <c r="E320" s="70"/>
      <c r="F320" s="70"/>
      <c r="G320" s="70"/>
      <c r="H320" s="69"/>
      <c r="I320" s="65"/>
      <c r="J320" s="65"/>
      <c r="DF320" s="8" t="s">
        <v>514</v>
      </c>
    </row>
    <row r="321" spans="1:110" outlineLevel="1" x14ac:dyDescent="0.25">
      <c r="C321" s="59" t="s">
        <v>235</v>
      </c>
      <c r="D321" s="70"/>
      <c r="E321" s="70"/>
      <c r="F321" s="70"/>
      <c r="G321" s="70"/>
      <c r="H321" s="69"/>
      <c r="I321" s="65"/>
      <c r="J321" s="65"/>
      <c r="DF321" s="8" t="s">
        <v>514</v>
      </c>
    </row>
    <row r="322" spans="1:110" ht="31.5" outlineLevel="1" x14ac:dyDescent="0.25">
      <c r="C322" s="5" t="s">
        <v>314</v>
      </c>
      <c r="D322" s="70">
        <v>1</v>
      </c>
      <c r="E322" s="70"/>
      <c r="F322" s="70"/>
      <c r="G322" s="70"/>
      <c r="H322" s="69">
        <f>PRODUCT($CV$322,$CW$322,$CX$322,$CY$322)</f>
        <v>1</v>
      </c>
      <c r="I322" s="65"/>
      <c r="J322" s="65"/>
      <c r="CV322" s="8">
        <f>(1)</f>
        <v>1</v>
      </c>
      <c r="DF322" s="8" t="s">
        <v>514</v>
      </c>
    </row>
    <row r="323" spans="1:110" x14ac:dyDescent="0.25">
      <c r="C323" s="60" t="str">
        <f>CONCATENATE("SOMMANO " &amp; 'Elenco Prezzi'!$C$43)</f>
        <v>SOMMANO Cad. Uno</v>
      </c>
      <c r="D323" s="70"/>
      <c r="E323" s="70"/>
      <c r="F323" s="70"/>
      <c r="G323" s="70"/>
      <c r="H323" s="69">
        <f>SUM($H$322:$H$322)</f>
        <v>1</v>
      </c>
      <c r="I323" s="65">
        <f>('Elenco Prezzi'!$D$43)</f>
        <v>179</v>
      </c>
      <c r="J323" s="65">
        <f>PRODUCT($H$323,$I$323)</f>
        <v>179</v>
      </c>
      <c r="DF323" s="8" t="s">
        <v>514</v>
      </c>
    </row>
    <row r="324" spans="1:110" ht="31.5" x14ac:dyDescent="0.25">
      <c r="A324" s="3">
        <v>33</v>
      </c>
      <c r="B324" s="56" t="str">
        <f>('Elenco Prezzi'!$A$43)</f>
        <v>400.001</v>
      </c>
      <c r="C324" s="23" t="str">
        <f>('Elenco Prezzi'!$B$43)</f>
        <v>Manichetta anticendio a bobina</v>
      </c>
      <c r="D324" s="70"/>
      <c r="E324" s="70"/>
      <c r="F324" s="70"/>
      <c r="G324" s="70"/>
      <c r="H324" s="69"/>
      <c r="I324" s="65"/>
      <c r="J324" s="65"/>
      <c r="K324" s="58" t="s">
        <v>231</v>
      </c>
      <c r="L324" s="58" t="s">
        <v>232</v>
      </c>
      <c r="M324" s="58" t="s">
        <v>232</v>
      </c>
      <c r="N324" s="58" t="s">
        <v>315</v>
      </c>
      <c r="DF324" s="8" t="s">
        <v>514</v>
      </c>
    </row>
    <row r="325" spans="1:110" hidden="1" outlineLevel="1" x14ac:dyDescent="0.25">
      <c r="C325" s="57" t="str">
        <f>('Elenco Prezzi'!$B$44)</f>
        <v>Manichetta anticendio a bobina</v>
      </c>
      <c r="D325" s="70"/>
      <c r="E325" s="70"/>
      <c r="F325" s="70"/>
      <c r="G325" s="70"/>
      <c r="H325" s="69"/>
      <c r="I325" s="65"/>
      <c r="J325" s="65"/>
      <c r="DF325" s="8" t="s">
        <v>514</v>
      </c>
    </row>
    <row r="326" spans="1:110" hidden="1" outlineLevel="1" x14ac:dyDescent="0.25">
      <c r="C326" s="57" t="str">
        <f>('Elenco Prezzi'!$B$45)</f>
        <v>Manichetta anticendio a bobina</v>
      </c>
      <c r="D326" s="70"/>
      <c r="E326" s="70"/>
      <c r="F326" s="70"/>
      <c r="G326" s="70"/>
      <c r="H326" s="69"/>
      <c r="I326" s="65"/>
      <c r="J326" s="65"/>
      <c r="DF326" s="8" t="s">
        <v>514</v>
      </c>
    </row>
    <row r="327" spans="1:110" outlineLevel="1" x14ac:dyDescent="0.25">
      <c r="C327" s="59" t="s">
        <v>235</v>
      </c>
      <c r="D327" s="70"/>
      <c r="E327" s="70"/>
      <c r="F327" s="70"/>
      <c r="G327" s="70"/>
      <c r="H327" s="69"/>
      <c r="I327" s="65"/>
      <c r="J327" s="65"/>
      <c r="DF327" s="8" t="s">
        <v>514</v>
      </c>
    </row>
    <row r="328" spans="1:110" ht="31.5" outlineLevel="1" x14ac:dyDescent="0.25">
      <c r="C328" s="5" t="s">
        <v>316</v>
      </c>
      <c r="D328" s="70">
        <v>1</v>
      </c>
      <c r="E328" s="70"/>
      <c r="F328" s="70"/>
      <c r="G328" s="70"/>
      <c r="H328" s="69">
        <f>PRODUCT($CV$328,$CW$328,$CX$328,$CY$328)</f>
        <v>1</v>
      </c>
      <c r="I328" s="65"/>
      <c r="J328" s="65"/>
      <c r="CV328" s="8">
        <f>(1)</f>
        <v>1</v>
      </c>
      <c r="DF328" s="8" t="s">
        <v>514</v>
      </c>
    </row>
    <row r="329" spans="1:110" x14ac:dyDescent="0.25">
      <c r="C329" s="60" t="str">
        <f>CONCATENATE("SOMMANO " &amp; 'Elenco Prezzi'!$C$43)</f>
        <v>SOMMANO Cad. Uno</v>
      </c>
      <c r="D329" s="70"/>
      <c r="E329" s="70"/>
      <c r="F329" s="70"/>
      <c r="G329" s="70"/>
      <c r="H329" s="69">
        <f>SUM($H$328:$H$328)</f>
        <v>1</v>
      </c>
      <c r="I329" s="65">
        <f>('Elenco Prezzi'!$D$43)</f>
        <v>179</v>
      </c>
      <c r="J329" s="65">
        <f>PRODUCT($H$329,$I$329)</f>
        <v>179</v>
      </c>
      <c r="DF329" s="8" t="s">
        <v>514</v>
      </c>
    </row>
    <row r="330" spans="1:110" ht="31.5" x14ac:dyDescent="0.25">
      <c r="A330" s="3">
        <v>34</v>
      </c>
      <c r="B330" s="56" t="str">
        <f>('Elenco Prezzi'!$A$46)</f>
        <v>400.002</v>
      </c>
      <c r="C330" s="23" t="str">
        <f>('Elenco Prezzi'!$B$46)</f>
        <v>Estintore a polvere da parete</v>
      </c>
      <c r="D330" s="70"/>
      <c r="E330" s="70"/>
      <c r="F330" s="70"/>
      <c r="G330" s="70"/>
      <c r="H330" s="69"/>
      <c r="I330" s="65"/>
      <c r="J330" s="65"/>
      <c r="K330" s="58" t="s">
        <v>239</v>
      </c>
      <c r="L330" s="58" t="s">
        <v>232</v>
      </c>
      <c r="M330" s="58" t="s">
        <v>232</v>
      </c>
      <c r="N330" s="58" t="s">
        <v>317</v>
      </c>
      <c r="DF330" s="8" t="s">
        <v>514</v>
      </c>
    </row>
    <row r="331" spans="1:110" hidden="1" outlineLevel="1" x14ac:dyDescent="0.25">
      <c r="C331" s="57" t="str">
        <f>('Elenco Prezzi'!$B$47)</f>
        <v>Estintore a polvere da parete</v>
      </c>
      <c r="D331" s="70"/>
      <c r="E331" s="70"/>
      <c r="F331" s="70"/>
      <c r="G331" s="70"/>
      <c r="H331" s="69"/>
      <c r="I331" s="65"/>
      <c r="J331" s="65"/>
      <c r="DF331" s="8" t="s">
        <v>514</v>
      </c>
    </row>
    <row r="332" spans="1:110" hidden="1" outlineLevel="1" x14ac:dyDescent="0.25">
      <c r="C332" s="57" t="str">
        <f>('Elenco Prezzi'!$B$48)</f>
        <v>Estintore a polvere da parete</v>
      </c>
      <c r="D332" s="70"/>
      <c r="E332" s="70"/>
      <c r="F332" s="70"/>
      <c r="G332" s="70"/>
      <c r="H332" s="69"/>
      <c r="I332" s="65"/>
      <c r="J332" s="65"/>
      <c r="DF332" s="8" t="s">
        <v>514</v>
      </c>
    </row>
    <row r="333" spans="1:110" outlineLevel="1" x14ac:dyDescent="0.25">
      <c r="C333" s="59" t="s">
        <v>235</v>
      </c>
      <c r="D333" s="70"/>
      <c r="E333" s="70"/>
      <c r="F333" s="70"/>
      <c r="G333" s="70"/>
      <c r="H333" s="69"/>
      <c r="I333" s="65"/>
      <c r="J333" s="65"/>
      <c r="DF333" s="8" t="s">
        <v>514</v>
      </c>
    </row>
    <row r="334" spans="1:110" outlineLevel="1" x14ac:dyDescent="0.25">
      <c r="C334" s="5" t="s">
        <v>318</v>
      </c>
      <c r="D334" s="70">
        <v>1</v>
      </c>
      <c r="E334" s="70"/>
      <c r="F334" s="70"/>
      <c r="G334" s="70"/>
      <c r="H334" s="69">
        <f>PRODUCT($CV$334,$CW$334,$CX$334,$CY$334)</f>
        <v>1</v>
      </c>
      <c r="I334" s="65"/>
      <c r="J334" s="65"/>
      <c r="CV334" s="8">
        <f>(1)</f>
        <v>1</v>
      </c>
      <c r="DF334" s="8" t="s">
        <v>514</v>
      </c>
    </row>
    <row r="335" spans="1:110" x14ac:dyDescent="0.25">
      <c r="C335" s="60" t="str">
        <f>CONCATENATE("SOMMANO " &amp; 'Elenco Prezzi'!$C$46)</f>
        <v>SOMMANO Cad. Uno</v>
      </c>
      <c r="D335" s="70"/>
      <c r="E335" s="70"/>
      <c r="F335" s="70"/>
      <c r="G335" s="70"/>
      <c r="H335" s="69">
        <f>SUM($H$334:$H$334)</f>
        <v>1</v>
      </c>
      <c r="I335" s="65">
        <f>('Elenco Prezzi'!$D$46)</f>
        <v>78</v>
      </c>
      <c r="J335" s="65">
        <f>PRODUCT($H$335,$I$335)</f>
        <v>78</v>
      </c>
      <c r="DF335" s="8" t="s">
        <v>514</v>
      </c>
    </row>
    <row r="336" spans="1:110" ht="31.5" x14ac:dyDescent="0.25">
      <c r="A336" s="3">
        <v>35</v>
      </c>
      <c r="B336" s="56" t="str">
        <f>('Elenco Prezzi'!$A$46)</f>
        <v>400.002</v>
      </c>
      <c r="C336" s="23" t="str">
        <f>('Elenco Prezzi'!$B$46)</f>
        <v>Estintore a polvere da parete</v>
      </c>
      <c r="D336" s="70"/>
      <c r="E336" s="70"/>
      <c r="F336" s="70"/>
      <c r="G336" s="70"/>
      <c r="H336" s="69"/>
      <c r="I336" s="65"/>
      <c r="J336" s="65"/>
      <c r="K336" s="58" t="s">
        <v>239</v>
      </c>
      <c r="L336" s="58" t="s">
        <v>232</v>
      </c>
      <c r="M336" s="58" t="s">
        <v>232</v>
      </c>
      <c r="N336" s="58" t="s">
        <v>319</v>
      </c>
      <c r="DF336" s="8" t="s">
        <v>514</v>
      </c>
    </row>
    <row r="337" spans="1:110" hidden="1" outlineLevel="1" x14ac:dyDescent="0.25">
      <c r="C337" s="57" t="str">
        <f>('Elenco Prezzi'!$B$47)</f>
        <v>Estintore a polvere da parete</v>
      </c>
      <c r="D337" s="70"/>
      <c r="E337" s="70"/>
      <c r="F337" s="70"/>
      <c r="G337" s="70"/>
      <c r="H337" s="69"/>
      <c r="I337" s="65"/>
      <c r="J337" s="65"/>
      <c r="DF337" s="8" t="s">
        <v>514</v>
      </c>
    </row>
    <row r="338" spans="1:110" hidden="1" outlineLevel="1" x14ac:dyDescent="0.25">
      <c r="C338" s="57" t="str">
        <f>('Elenco Prezzi'!$B$48)</f>
        <v>Estintore a polvere da parete</v>
      </c>
      <c r="D338" s="70"/>
      <c r="E338" s="70"/>
      <c r="F338" s="70"/>
      <c r="G338" s="70"/>
      <c r="H338" s="69"/>
      <c r="I338" s="65"/>
      <c r="J338" s="65"/>
      <c r="DF338" s="8" t="s">
        <v>514</v>
      </c>
    </row>
    <row r="339" spans="1:110" outlineLevel="1" x14ac:dyDescent="0.25">
      <c r="C339" s="59" t="s">
        <v>235</v>
      </c>
      <c r="D339" s="70"/>
      <c r="E339" s="70"/>
      <c r="F339" s="70"/>
      <c r="G339" s="70"/>
      <c r="H339" s="69"/>
      <c r="I339" s="65"/>
      <c r="J339" s="65"/>
      <c r="DF339" s="8" t="s">
        <v>514</v>
      </c>
    </row>
    <row r="340" spans="1:110" outlineLevel="1" x14ac:dyDescent="0.25">
      <c r="C340" s="5" t="s">
        <v>320</v>
      </c>
      <c r="D340" s="70">
        <v>1</v>
      </c>
      <c r="E340" s="70"/>
      <c r="F340" s="70"/>
      <c r="G340" s="70"/>
      <c r="H340" s="69">
        <f>PRODUCT($CV$340,$CW$340,$CX$340,$CY$340)</f>
        <v>1</v>
      </c>
      <c r="I340" s="65"/>
      <c r="J340" s="65"/>
      <c r="CV340" s="8">
        <f>(1)</f>
        <v>1</v>
      </c>
      <c r="DF340" s="8" t="s">
        <v>514</v>
      </c>
    </row>
    <row r="341" spans="1:110" x14ac:dyDescent="0.25">
      <c r="C341" s="60" t="str">
        <f>CONCATENATE("SOMMANO " &amp; 'Elenco Prezzi'!$C$46)</f>
        <v>SOMMANO Cad. Uno</v>
      </c>
      <c r="D341" s="70"/>
      <c r="E341" s="70"/>
      <c r="F341" s="70"/>
      <c r="G341" s="70"/>
      <c r="H341" s="69">
        <f>SUM($H$340:$H$340)</f>
        <v>1</v>
      </c>
      <c r="I341" s="65">
        <f>('Elenco Prezzi'!$D$46)</f>
        <v>78</v>
      </c>
      <c r="J341" s="65">
        <f>PRODUCT($H$341,$I$341)</f>
        <v>78</v>
      </c>
      <c r="DF341" s="8" t="s">
        <v>514</v>
      </c>
    </row>
    <row r="342" spans="1:110" ht="31.5" x14ac:dyDescent="0.25">
      <c r="A342" s="3">
        <v>36</v>
      </c>
      <c r="B342" s="56" t="str">
        <f>('Elenco Prezzi'!$A$46)</f>
        <v>400.002</v>
      </c>
      <c r="C342" s="23" t="str">
        <f>('Elenco Prezzi'!$B$46)</f>
        <v>Estintore a polvere da parete</v>
      </c>
      <c r="D342" s="70"/>
      <c r="E342" s="70"/>
      <c r="F342" s="70"/>
      <c r="G342" s="70"/>
      <c r="H342" s="69"/>
      <c r="I342" s="65"/>
      <c r="J342" s="65"/>
      <c r="K342" s="58" t="s">
        <v>231</v>
      </c>
      <c r="L342" s="58" t="s">
        <v>232</v>
      </c>
      <c r="M342" s="58" t="s">
        <v>232</v>
      </c>
      <c r="N342" s="58" t="s">
        <v>321</v>
      </c>
      <c r="DF342" s="8" t="s">
        <v>514</v>
      </c>
    </row>
    <row r="343" spans="1:110" hidden="1" outlineLevel="1" x14ac:dyDescent="0.25">
      <c r="C343" s="57" t="str">
        <f>('Elenco Prezzi'!$B$47)</f>
        <v>Estintore a polvere da parete</v>
      </c>
      <c r="D343" s="70"/>
      <c r="E343" s="70"/>
      <c r="F343" s="70"/>
      <c r="G343" s="70"/>
      <c r="H343" s="69"/>
      <c r="I343" s="65"/>
      <c r="J343" s="65"/>
      <c r="DF343" s="8" t="s">
        <v>514</v>
      </c>
    </row>
    <row r="344" spans="1:110" hidden="1" outlineLevel="1" x14ac:dyDescent="0.25">
      <c r="C344" s="57" t="str">
        <f>('Elenco Prezzi'!$B$48)</f>
        <v>Estintore a polvere da parete</v>
      </c>
      <c r="D344" s="70"/>
      <c r="E344" s="70"/>
      <c r="F344" s="70"/>
      <c r="G344" s="70"/>
      <c r="H344" s="69"/>
      <c r="I344" s="65"/>
      <c r="J344" s="65"/>
      <c r="DF344" s="8" t="s">
        <v>514</v>
      </c>
    </row>
    <row r="345" spans="1:110" outlineLevel="1" x14ac:dyDescent="0.25">
      <c r="C345" s="59" t="s">
        <v>235</v>
      </c>
      <c r="D345" s="70"/>
      <c r="E345" s="70"/>
      <c r="F345" s="70"/>
      <c r="G345" s="70"/>
      <c r="H345" s="69"/>
      <c r="I345" s="65"/>
      <c r="J345" s="65"/>
      <c r="DF345" s="8" t="s">
        <v>514</v>
      </c>
    </row>
    <row r="346" spans="1:110" outlineLevel="1" x14ac:dyDescent="0.25">
      <c r="C346" s="5" t="s">
        <v>322</v>
      </c>
      <c r="D346" s="70">
        <v>1</v>
      </c>
      <c r="E346" s="70"/>
      <c r="F346" s="70"/>
      <c r="G346" s="70"/>
      <c r="H346" s="69">
        <f>PRODUCT($CV$346,$CW$346,$CX$346,$CY$346)</f>
        <v>1</v>
      </c>
      <c r="I346" s="65"/>
      <c r="J346" s="65"/>
      <c r="CV346" s="8">
        <f>(1)</f>
        <v>1</v>
      </c>
      <c r="DF346" s="8" t="s">
        <v>514</v>
      </c>
    </row>
    <row r="347" spans="1:110" x14ac:dyDescent="0.25">
      <c r="C347" s="60" t="str">
        <f>CONCATENATE("SOMMANO " &amp; 'Elenco Prezzi'!$C$46)</f>
        <v>SOMMANO Cad. Uno</v>
      </c>
      <c r="D347" s="70"/>
      <c r="E347" s="70"/>
      <c r="F347" s="70"/>
      <c r="G347" s="70"/>
      <c r="H347" s="69">
        <f>SUM($H$346:$H$346)</f>
        <v>1</v>
      </c>
      <c r="I347" s="65">
        <f>('Elenco Prezzi'!$D$46)</f>
        <v>78</v>
      </c>
      <c r="J347" s="65">
        <f>PRODUCT($H$347,$I$347)</f>
        <v>78</v>
      </c>
      <c r="DF347" s="8" t="s">
        <v>514</v>
      </c>
    </row>
    <row r="348" spans="1:110" ht="31.5" x14ac:dyDescent="0.25">
      <c r="A348" s="3">
        <v>37</v>
      </c>
      <c r="B348" s="56" t="str">
        <f>('Elenco Prezzi'!$A$46)</f>
        <v>400.002</v>
      </c>
      <c r="C348" s="23" t="str">
        <f>('Elenco Prezzi'!$B$46)</f>
        <v>Estintore a polvere da parete</v>
      </c>
      <c r="D348" s="70"/>
      <c r="E348" s="70"/>
      <c r="F348" s="70"/>
      <c r="G348" s="70"/>
      <c r="H348" s="69"/>
      <c r="I348" s="65"/>
      <c r="J348" s="65"/>
      <c r="K348" s="58" t="s">
        <v>231</v>
      </c>
      <c r="L348" s="58" t="s">
        <v>232</v>
      </c>
      <c r="M348" s="58" t="s">
        <v>232</v>
      </c>
      <c r="N348" s="58" t="s">
        <v>323</v>
      </c>
      <c r="DF348" s="8" t="s">
        <v>514</v>
      </c>
    </row>
    <row r="349" spans="1:110" hidden="1" outlineLevel="1" x14ac:dyDescent="0.25">
      <c r="C349" s="57" t="str">
        <f>('Elenco Prezzi'!$B$47)</f>
        <v>Estintore a polvere da parete</v>
      </c>
      <c r="D349" s="70"/>
      <c r="E349" s="70"/>
      <c r="F349" s="70"/>
      <c r="G349" s="70"/>
      <c r="H349" s="69"/>
      <c r="I349" s="65"/>
      <c r="J349" s="65"/>
      <c r="DF349" s="8" t="s">
        <v>514</v>
      </c>
    </row>
    <row r="350" spans="1:110" hidden="1" outlineLevel="1" x14ac:dyDescent="0.25">
      <c r="C350" s="57" t="str">
        <f>('Elenco Prezzi'!$B$48)</f>
        <v>Estintore a polvere da parete</v>
      </c>
      <c r="D350" s="70"/>
      <c r="E350" s="70"/>
      <c r="F350" s="70"/>
      <c r="G350" s="70"/>
      <c r="H350" s="69"/>
      <c r="I350" s="65"/>
      <c r="J350" s="65"/>
      <c r="DF350" s="8" t="s">
        <v>514</v>
      </c>
    </row>
    <row r="351" spans="1:110" outlineLevel="1" x14ac:dyDescent="0.25">
      <c r="C351" s="59" t="s">
        <v>235</v>
      </c>
      <c r="D351" s="70"/>
      <c r="E351" s="70"/>
      <c r="F351" s="70"/>
      <c r="G351" s="70"/>
      <c r="H351" s="69"/>
      <c r="I351" s="65"/>
      <c r="J351" s="65"/>
      <c r="DF351" s="8" t="s">
        <v>514</v>
      </c>
    </row>
    <row r="352" spans="1:110" outlineLevel="1" x14ac:dyDescent="0.25">
      <c r="C352" s="5" t="s">
        <v>324</v>
      </c>
      <c r="D352" s="70">
        <v>1</v>
      </c>
      <c r="E352" s="70"/>
      <c r="F352" s="70"/>
      <c r="G352" s="70"/>
      <c r="H352" s="69">
        <f>PRODUCT($CV$352,$CW$352,$CX$352,$CY$352)</f>
        <v>1</v>
      </c>
      <c r="I352" s="65"/>
      <c r="J352" s="65"/>
      <c r="CV352" s="8">
        <f>(1)</f>
        <v>1</v>
      </c>
      <c r="DF352" s="8" t="s">
        <v>514</v>
      </c>
    </row>
    <row r="353" spans="1:110" x14ac:dyDescent="0.25">
      <c r="C353" s="60" t="str">
        <f>CONCATENATE("SOMMANO " &amp; 'Elenco Prezzi'!$C$46)</f>
        <v>SOMMANO Cad. Uno</v>
      </c>
      <c r="D353" s="70"/>
      <c r="E353" s="70"/>
      <c r="F353" s="70"/>
      <c r="G353" s="70"/>
      <c r="H353" s="69">
        <f>SUM($H$352:$H$352)</f>
        <v>1</v>
      </c>
      <c r="I353" s="65">
        <f>('Elenco Prezzi'!$D$46)</f>
        <v>78</v>
      </c>
      <c r="J353" s="65">
        <f>PRODUCT($H$353,$I$353)</f>
        <v>78</v>
      </c>
      <c r="DF353" s="8" t="s">
        <v>514</v>
      </c>
    </row>
    <row r="354" spans="1:110" ht="31.5" x14ac:dyDescent="0.25">
      <c r="A354" s="3">
        <v>38</v>
      </c>
      <c r="B354" s="56" t="str">
        <f>('Elenco Prezzi'!$A$46)</f>
        <v>400.002</v>
      </c>
      <c r="C354" s="23" t="str">
        <f>('Elenco Prezzi'!$B$46)</f>
        <v>Estintore a polvere da parete</v>
      </c>
      <c r="D354" s="70"/>
      <c r="E354" s="70"/>
      <c r="F354" s="70"/>
      <c r="G354" s="70"/>
      <c r="H354" s="69"/>
      <c r="I354" s="65"/>
      <c r="J354" s="65"/>
      <c r="K354" s="58" t="s">
        <v>231</v>
      </c>
      <c r="L354" s="58" t="s">
        <v>232</v>
      </c>
      <c r="M354" s="58" t="s">
        <v>232</v>
      </c>
      <c r="N354" s="58" t="s">
        <v>325</v>
      </c>
      <c r="DF354" s="8" t="s">
        <v>514</v>
      </c>
    </row>
    <row r="355" spans="1:110" hidden="1" outlineLevel="1" x14ac:dyDescent="0.25">
      <c r="C355" s="57" t="str">
        <f>('Elenco Prezzi'!$B$47)</f>
        <v>Estintore a polvere da parete</v>
      </c>
      <c r="D355" s="70"/>
      <c r="E355" s="70"/>
      <c r="F355" s="70"/>
      <c r="G355" s="70"/>
      <c r="H355" s="69"/>
      <c r="I355" s="65"/>
      <c r="J355" s="65"/>
      <c r="DF355" s="8" t="s">
        <v>514</v>
      </c>
    </row>
    <row r="356" spans="1:110" hidden="1" outlineLevel="1" x14ac:dyDescent="0.25">
      <c r="C356" s="57" t="str">
        <f>('Elenco Prezzi'!$B$48)</f>
        <v>Estintore a polvere da parete</v>
      </c>
      <c r="D356" s="70"/>
      <c r="E356" s="70"/>
      <c r="F356" s="70"/>
      <c r="G356" s="70"/>
      <c r="H356" s="69"/>
      <c r="I356" s="65"/>
      <c r="J356" s="65"/>
      <c r="DF356" s="8" t="s">
        <v>514</v>
      </c>
    </row>
    <row r="357" spans="1:110" outlineLevel="1" x14ac:dyDescent="0.25">
      <c r="C357" s="59" t="s">
        <v>235</v>
      </c>
      <c r="D357" s="70"/>
      <c r="E357" s="70"/>
      <c r="F357" s="70"/>
      <c r="G357" s="70"/>
      <c r="H357" s="69"/>
      <c r="I357" s="65"/>
      <c r="J357" s="65"/>
      <c r="DF357" s="8" t="s">
        <v>514</v>
      </c>
    </row>
    <row r="358" spans="1:110" outlineLevel="1" x14ac:dyDescent="0.25">
      <c r="C358" s="5" t="s">
        <v>326</v>
      </c>
      <c r="D358" s="70">
        <v>1</v>
      </c>
      <c r="E358" s="70"/>
      <c r="F358" s="70"/>
      <c r="G358" s="70"/>
      <c r="H358" s="69">
        <f>PRODUCT($CV$358,$CW$358,$CX$358,$CY$358)</f>
        <v>1</v>
      </c>
      <c r="I358" s="65"/>
      <c r="J358" s="65"/>
      <c r="CV358" s="8">
        <f>(1)</f>
        <v>1</v>
      </c>
      <c r="DF358" s="8" t="s">
        <v>514</v>
      </c>
    </row>
    <row r="359" spans="1:110" x14ac:dyDescent="0.25">
      <c r="C359" s="60" t="str">
        <f>CONCATENATE("SOMMANO " &amp; 'Elenco Prezzi'!$C$46)</f>
        <v>SOMMANO Cad. Uno</v>
      </c>
      <c r="D359" s="70"/>
      <c r="E359" s="70"/>
      <c r="F359" s="70"/>
      <c r="G359" s="70"/>
      <c r="H359" s="69">
        <f>SUM($H$358:$H$358)</f>
        <v>1</v>
      </c>
      <c r="I359" s="65">
        <f>('Elenco Prezzi'!$D$46)</f>
        <v>78</v>
      </c>
      <c r="J359" s="65">
        <f>PRODUCT($H$359,$I$359)</f>
        <v>78</v>
      </c>
      <c r="DF359" s="8" t="s">
        <v>514</v>
      </c>
    </row>
    <row r="360" spans="1:110" ht="31.5" x14ac:dyDescent="0.25">
      <c r="A360" s="3">
        <v>39</v>
      </c>
      <c r="B360" s="56" t="str">
        <f>('Elenco Prezzi'!$A$46)</f>
        <v>400.002</v>
      </c>
      <c r="C360" s="23" t="str">
        <f>('Elenco Prezzi'!$B$46)</f>
        <v>Estintore a polvere da parete</v>
      </c>
      <c r="D360" s="70"/>
      <c r="E360" s="70"/>
      <c r="F360" s="70"/>
      <c r="G360" s="70"/>
      <c r="H360" s="69"/>
      <c r="I360" s="65"/>
      <c r="J360" s="65"/>
      <c r="K360" s="58" t="s">
        <v>231</v>
      </c>
      <c r="L360" s="58" t="s">
        <v>232</v>
      </c>
      <c r="M360" s="58" t="s">
        <v>232</v>
      </c>
      <c r="N360" s="58" t="s">
        <v>327</v>
      </c>
      <c r="DF360" s="8" t="s">
        <v>514</v>
      </c>
    </row>
    <row r="361" spans="1:110" hidden="1" outlineLevel="1" x14ac:dyDescent="0.25">
      <c r="C361" s="57" t="str">
        <f>('Elenco Prezzi'!$B$47)</f>
        <v>Estintore a polvere da parete</v>
      </c>
      <c r="D361" s="70"/>
      <c r="E361" s="70"/>
      <c r="F361" s="70"/>
      <c r="G361" s="70"/>
      <c r="H361" s="69"/>
      <c r="I361" s="65"/>
      <c r="J361" s="65"/>
      <c r="DF361" s="8" t="s">
        <v>514</v>
      </c>
    </row>
    <row r="362" spans="1:110" hidden="1" outlineLevel="1" x14ac:dyDescent="0.25">
      <c r="C362" s="57" t="str">
        <f>('Elenco Prezzi'!$B$48)</f>
        <v>Estintore a polvere da parete</v>
      </c>
      <c r="D362" s="70"/>
      <c r="E362" s="70"/>
      <c r="F362" s="70"/>
      <c r="G362" s="70"/>
      <c r="H362" s="69"/>
      <c r="I362" s="65"/>
      <c r="J362" s="65"/>
      <c r="DF362" s="8" t="s">
        <v>514</v>
      </c>
    </row>
    <row r="363" spans="1:110" outlineLevel="1" x14ac:dyDescent="0.25">
      <c r="C363" s="59" t="s">
        <v>235</v>
      </c>
      <c r="D363" s="70"/>
      <c r="E363" s="70"/>
      <c r="F363" s="70"/>
      <c r="G363" s="70"/>
      <c r="H363" s="69"/>
      <c r="I363" s="65"/>
      <c r="J363" s="65"/>
      <c r="DF363" s="8" t="s">
        <v>514</v>
      </c>
    </row>
    <row r="364" spans="1:110" outlineLevel="1" x14ac:dyDescent="0.25">
      <c r="C364" s="5" t="s">
        <v>328</v>
      </c>
      <c r="D364" s="70">
        <v>1</v>
      </c>
      <c r="E364" s="70"/>
      <c r="F364" s="70"/>
      <c r="G364" s="70"/>
      <c r="H364" s="69">
        <f>PRODUCT($CV$364,$CW$364,$CX$364,$CY$364)</f>
        <v>1</v>
      </c>
      <c r="I364" s="65"/>
      <c r="J364" s="65"/>
      <c r="CV364" s="8">
        <f>(1)</f>
        <v>1</v>
      </c>
      <c r="DF364" s="8" t="s">
        <v>514</v>
      </c>
    </row>
    <row r="365" spans="1:110" outlineLevel="1" x14ac:dyDescent="0.25">
      <c r="C365" s="5" t="s">
        <v>329</v>
      </c>
      <c r="D365" s="70">
        <v>1</v>
      </c>
      <c r="E365" s="70"/>
      <c r="F365" s="70"/>
      <c r="G365" s="70"/>
      <c r="H365" s="69">
        <f>PRODUCT($CV$365,$CW$365,$CX$365,$CY$365)</f>
        <v>1</v>
      </c>
      <c r="I365" s="65"/>
      <c r="J365" s="65"/>
      <c r="CV365" s="8">
        <f>(1)</f>
        <v>1</v>
      </c>
      <c r="DF365" s="8" t="s">
        <v>514</v>
      </c>
    </row>
    <row r="366" spans="1:110" x14ac:dyDescent="0.25">
      <c r="C366" s="60" t="str">
        <f>CONCATENATE("SOMMANO " &amp; 'Elenco Prezzi'!$C$46)</f>
        <v>SOMMANO Cad. Uno</v>
      </c>
      <c r="D366" s="70"/>
      <c r="E366" s="70"/>
      <c r="F366" s="70"/>
      <c r="G366" s="70"/>
      <c r="H366" s="69">
        <f>SUM($H$364:$H$365)</f>
        <v>2</v>
      </c>
      <c r="I366" s="65">
        <f>('Elenco Prezzi'!$D$46)</f>
        <v>78</v>
      </c>
      <c r="J366" s="65">
        <f>PRODUCT($H$366,$I$366)</f>
        <v>156</v>
      </c>
      <c r="DF366" s="8" t="s">
        <v>514</v>
      </c>
    </row>
    <row r="367" spans="1:110" ht="31.5" x14ac:dyDescent="0.25">
      <c r="A367" s="3">
        <v>40</v>
      </c>
      <c r="B367" s="56" t="str">
        <f>('Elenco Prezzi'!$A$49)</f>
        <v>500.101</v>
      </c>
      <c r="C367" s="23" t="str">
        <f>('Elenco Prezzi'!$B$49)</f>
        <v>Letto di sabbia e cemento</v>
      </c>
      <c r="D367" s="70"/>
      <c r="E367" s="70"/>
      <c r="F367" s="70"/>
      <c r="G367" s="70"/>
      <c r="H367" s="69"/>
      <c r="I367" s="65"/>
      <c r="J367" s="65"/>
      <c r="K367" s="58" t="s">
        <v>231</v>
      </c>
      <c r="L367" s="58" t="s">
        <v>232</v>
      </c>
      <c r="M367" s="58" t="s">
        <v>233</v>
      </c>
      <c r="N367" s="58" t="s">
        <v>234</v>
      </c>
      <c r="DF367" s="8" t="s">
        <v>514</v>
      </c>
    </row>
    <row r="368" spans="1:110" hidden="1" outlineLevel="1" x14ac:dyDescent="0.25">
      <c r="C368" s="57" t="str">
        <f>('Elenco Prezzi'!$B$50)</f>
        <v>Letto di sabbia e cemento</v>
      </c>
      <c r="D368" s="70"/>
      <c r="E368" s="70"/>
      <c r="F368" s="70"/>
      <c r="G368" s="70"/>
      <c r="H368" s="69"/>
      <c r="I368" s="65"/>
      <c r="J368" s="65"/>
      <c r="DF368" s="8" t="s">
        <v>514</v>
      </c>
    </row>
    <row r="369" spans="1:110" hidden="1" outlineLevel="1" x14ac:dyDescent="0.25">
      <c r="C369" s="57" t="str">
        <f>('Elenco Prezzi'!$B$51)</f>
        <v>Letto di sabbia e cemento</v>
      </c>
      <c r="D369" s="70"/>
      <c r="E369" s="70"/>
      <c r="F369" s="70"/>
      <c r="G369" s="70"/>
      <c r="H369" s="69"/>
      <c r="I369" s="65"/>
      <c r="J369" s="65"/>
      <c r="DF369" s="8" t="s">
        <v>514</v>
      </c>
    </row>
    <row r="370" spans="1:110" outlineLevel="1" x14ac:dyDescent="0.25">
      <c r="C370" s="59" t="s">
        <v>235</v>
      </c>
      <c r="D370" s="70"/>
      <c r="E370" s="70"/>
      <c r="F370" s="70"/>
      <c r="G370" s="70"/>
      <c r="H370" s="69"/>
      <c r="I370" s="65"/>
      <c r="J370" s="65"/>
      <c r="DF370" s="8" t="s">
        <v>514</v>
      </c>
    </row>
    <row r="371" spans="1:110" ht="31.5" outlineLevel="1" x14ac:dyDescent="0.25">
      <c r="C371" s="5" t="s">
        <v>236</v>
      </c>
      <c r="D371" s="70">
        <v>341.392</v>
      </c>
      <c r="E371" s="70"/>
      <c r="F371" s="70"/>
      <c r="G371" s="70">
        <v>6.5000000000000002E-2</v>
      </c>
      <c r="H371" s="69">
        <f>PRODUCT($CV$371,$CW$371,$CX$371,$CY$371)</f>
        <v>22.190480000000001</v>
      </c>
      <c r="I371" s="65"/>
      <c r="J371" s="65"/>
      <c r="CV371" s="8">
        <f>(341.392)</f>
        <v>341.392</v>
      </c>
      <c r="CY371" s="8">
        <f>(0.065)</f>
        <v>6.5000000000000002E-2</v>
      </c>
      <c r="DF371" s="8" t="s">
        <v>514</v>
      </c>
    </row>
    <row r="372" spans="1:110" x14ac:dyDescent="0.25">
      <c r="C372" s="60" t="str">
        <f>CONCATENATE("SOMMANO " &amp; 'Elenco Prezzi'!$C$49)</f>
        <v>SOMMANO m3</v>
      </c>
      <c r="D372" s="70"/>
      <c r="E372" s="70"/>
      <c r="F372" s="70"/>
      <c r="G372" s="70"/>
      <c r="H372" s="69">
        <f>SUM($H$371:$H$371)</f>
        <v>22.190480000000001</v>
      </c>
      <c r="I372" s="65">
        <f>('Elenco Prezzi'!$D$49)</f>
        <v>9</v>
      </c>
      <c r="J372" s="65">
        <f>PRODUCT($H$372,$I$372)</f>
        <v>199.71432000000001</v>
      </c>
      <c r="DF372" s="8" t="s">
        <v>514</v>
      </c>
    </row>
    <row r="373" spans="1:110" ht="31.5" x14ac:dyDescent="0.25">
      <c r="A373" s="3">
        <v>41</v>
      </c>
      <c r="B373" s="56" t="str">
        <f>('Elenco Prezzi'!$A$49)</f>
        <v>500.101</v>
      </c>
      <c r="C373" s="23" t="str">
        <f>('Elenco Prezzi'!$B$49)</f>
        <v>Letto di sabbia e cemento</v>
      </c>
      <c r="D373" s="70"/>
      <c r="E373" s="70"/>
      <c r="F373" s="70"/>
      <c r="G373" s="70"/>
      <c r="H373" s="69"/>
      <c r="I373" s="65"/>
      <c r="J373" s="65"/>
      <c r="K373" s="58" t="s">
        <v>237</v>
      </c>
      <c r="L373" s="58" t="s">
        <v>232</v>
      </c>
      <c r="M373" s="58" t="s">
        <v>233</v>
      </c>
      <c r="N373" s="58" t="s">
        <v>234</v>
      </c>
      <c r="DF373" s="8" t="s">
        <v>514</v>
      </c>
    </row>
    <row r="374" spans="1:110" hidden="1" outlineLevel="1" x14ac:dyDescent="0.25">
      <c r="C374" s="57" t="str">
        <f>('Elenco Prezzi'!$B$50)</f>
        <v>Letto di sabbia e cemento</v>
      </c>
      <c r="D374" s="70"/>
      <c r="E374" s="70"/>
      <c r="F374" s="70"/>
      <c r="G374" s="70"/>
      <c r="H374" s="69"/>
      <c r="I374" s="65"/>
      <c r="J374" s="65"/>
      <c r="DF374" s="8" t="s">
        <v>514</v>
      </c>
    </row>
    <row r="375" spans="1:110" hidden="1" outlineLevel="1" x14ac:dyDescent="0.25">
      <c r="C375" s="57" t="str">
        <f>('Elenco Prezzi'!$B$51)</f>
        <v>Letto di sabbia e cemento</v>
      </c>
      <c r="D375" s="70"/>
      <c r="E375" s="70"/>
      <c r="F375" s="70"/>
      <c r="G375" s="70"/>
      <c r="H375" s="69"/>
      <c r="I375" s="65"/>
      <c r="J375" s="65"/>
      <c r="DF375" s="8" t="s">
        <v>514</v>
      </c>
    </row>
    <row r="376" spans="1:110" outlineLevel="1" x14ac:dyDescent="0.25">
      <c r="C376" s="59" t="s">
        <v>235</v>
      </c>
      <c r="D376" s="70"/>
      <c r="E376" s="70"/>
      <c r="F376" s="70"/>
      <c r="G376" s="70"/>
      <c r="H376" s="69"/>
      <c r="I376" s="65"/>
      <c r="J376" s="65"/>
      <c r="DF376" s="8" t="s">
        <v>514</v>
      </c>
    </row>
    <row r="377" spans="1:110" ht="31.5" outlineLevel="1" x14ac:dyDescent="0.25">
      <c r="C377" s="5" t="s">
        <v>238</v>
      </c>
      <c r="D377" s="70">
        <v>341.392</v>
      </c>
      <c r="E377" s="70"/>
      <c r="F377" s="70"/>
      <c r="G377" s="70">
        <v>6.5000000000000002E-2</v>
      </c>
      <c r="H377" s="69">
        <f>PRODUCT($CV$377,$CW$377,$CX$377,$CY$377)</f>
        <v>22.190480000000001</v>
      </c>
      <c r="I377" s="65"/>
      <c r="J377" s="65"/>
      <c r="CV377" s="8">
        <f>(341.392)</f>
        <v>341.392</v>
      </c>
      <c r="CY377" s="8">
        <f>(0.065)</f>
        <v>6.5000000000000002E-2</v>
      </c>
      <c r="DF377" s="8" t="s">
        <v>514</v>
      </c>
    </row>
    <row r="378" spans="1:110" x14ac:dyDescent="0.25">
      <c r="C378" s="60" t="str">
        <f>CONCATENATE("SOMMANO " &amp; 'Elenco Prezzi'!$C$49)</f>
        <v>SOMMANO m3</v>
      </c>
      <c r="D378" s="70"/>
      <c r="E378" s="70"/>
      <c r="F378" s="70"/>
      <c r="G378" s="70"/>
      <c r="H378" s="69">
        <f>SUM($H$377:$H$377)</f>
        <v>22.190480000000001</v>
      </c>
      <c r="I378" s="65">
        <f>('Elenco Prezzi'!$D$49)</f>
        <v>9</v>
      </c>
      <c r="J378" s="65">
        <f>PRODUCT($H$378,$I$378)</f>
        <v>199.71432000000001</v>
      </c>
      <c r="DF378" s="8" t="s">
        <v>514</v>
      </c>
    </row>
    <row r="379" spans="1:110" ht="31.5" x14ac:dyDescent="0.25">
      <c r="A379" s="3">
        <v>42</v>
      </c>
      <c r="B379" s="56" t="str">
        <f>('Elenco Prezzi'!$A$52)</f>
        <v>550.001</v>
      </c>
      <c r="C379" s="23" t="str">
        <f>('Elenco Prezzi'!$B$52)</f>
        <v>Distributore automatico alimetari</v>
      </c>
      <c r="D379" s="70"/>
      <c r="E379" s="70"/>
      <c r="F379" s="70"/>
      <c r="G379" s="70"/>
      <c r="H379" s="69"/>
      <c r="I379" s="65"/>
      <c r="J379" s="65"/>
      <c r="K379" s="58" t="s">
        <v>231</v>
      </c>
      <c r="L379" s="58" t="s">
        <v>232</v>
      </c>
      <c r="M379" s="58" t="s">
        <v>232</v>
      </c>
      <c r="N379" s="58" t="s">
        <v>234</v>
      </c>
      <c r="DF379" s="8" t="s">
        <v>514</v>
      </c>
    </row>
    <row r="380" spans="1:110" hidden="1" outlineLevel="1" x14ac:dyDescent="0.25">
      <c r="C380" s="57" t="str">
        <f>('Elenco Prezzi'!$B$53)</f>
        <v>Distributore automatico alimetari</v>
      </c>
      <c r="D380" s="70"/>
      <c r="E380" s="70"/>
      <c r="F380" s="70"/>
      <c r="G380" s="70"/>
      <c r="H380" s="69"/>
      <c r="I380" s="65"/>
      <c r="J380" s="65"/>
      <c r="DF380" s="8" t="s">
        <v>514</v>
      </c>
    </row>
    <row r="381" spans="1:110" hidden="1" outlineLevel="1" x14ac:dyDescent="0.25">
      <c r="C381" s="57" t="str">
        <f>('Elenco Prezzi'!$B$54)</f>
        <v>Distributore automatico alimetari</v>
      </c>
      <c r="D381" s="70"/>
      <c r="E381" s="70"/>
      <c r="F381" s="70"/>
      <c r="G381" s="70"/>
      <c r="H381" s="69"/>
      <c r="I381" s="65"/>
      <c r="J381" s="65"/>
      <c r="DF381" s="8" t="s">
        <v>514</v>
      </c>
    </row>
    <row r="382" spans="1:110" outlineLevel="1" x14ac:dyDescent="0.25">
      <c r="C382" s="59" t="s">
        <v>235</v>
      </c>
      <c r="D382" s="70"/>
      <c r="E382" s="70"/>
      <c r="F382" s="70"/>
      <c r="G382" s="70"/>
      <c r="H382" s="69"/>
      <c r="I382" s="65"/>
      <c r="J382" s="65"/>
      <c r="DF382" s="8" t="s">
        <v>514</v>
      </c>
    </row>
    <row r="383" spans="1:110" ht="31.5" outlineLevel="1" x14ac:dyDescent="0.25">
      <c r="C383" s="5" t="s">
        <v>330</v>
      </c>
      <c r="D383" s="70">
        <v>1</v>
      </c>
      <c r="E383" s="70"/>
      <c r="F383" s="70"/>
      <c r="G383" s="70"/>
      <c r="H383" s="69">
        <f>PRODUCT($CV$383,$CW$383,$CX$383,$CY$383)</f>
        <v>1</v>
      </c>
      <c r="I383" s="65"/>
      <c r="J383" s="65"/>
      <c r="CV383" s="8">
        <f>(1)</f>
        <v>1</v>
      </c>
      <c r="DF383" s="8" t="s">
        <v>514</v>
      </c>
    </row>
    <row r="384" spans="1:110" ht="31.5" outlineLevel="1" x14ac:dyDescent="0.25">
      <c r="C384" s="5" t="s">
        <v>331</v>
      </c>
      <c r="D384" s="70">
        <v>1</v>
      </c>
      <c r="E384" s="70"/>
      <c r="F384" s="70"/>
      <c r="G384" s="70"/>
      <c r="H384" s="69">
        <f>PRODUCT($CV$384,$CW$384,$CX$384,$CY$384)</f>
        <v>1</v>
      </c>
      <c r="I384" s="65"/>
      <c r="J384" s="65"/>
      <c r="CV384" s="8">
        <f>(1)</f>
        <v>1</v>
      </c>
      <c r="DF384" s="8" t="s">
        <v>514</v>
      </c>
    </row>
    <row r="385" spans="1:110" x14ac:dyDescent="0.25">
      <c r="C385" s="60" t="str">
        <f>CONCATENATE("SOMMANO " &amp; 'Elenco Prezzi'!$C$52)</f>
        <v>SOMMANO Cad. Uno</v>
      </c>
      <c r="D385" s="70"/>
      <c r="E385" s="70"/>
      <c r="F385" s="70"/>
      <c r="G385" s="70"/>
      <c r="H385" s="69">
        <f>SUM($H$383:$H$384)</f>
        <v>2</v>
      </c>
      <c r="I385" s="65">
        <f>('Elenco Prezzi'!$D$52)</f>
        <v>670</v>
      </c>
      <c r="J385" s="65">
        <f>PRODUCT($H$385,$I$385)</f>
        <v>1340</v>
      </c>
      <c r="DF385" s="8" t="s">
        <v>514</v>
      </c>
    </row>
    <row r="386" spans="1:110" ht="31.5" x14ac:dyDescent="0.25">
      <c r="A386" s="3">
        <v>43</v>
      </c>
      <c r="B386" s="56" t="str">
        <f>('Elenco Prezzi'!$A$55)</f>
        <v>550.002</v>
      </c>
      <c r="C386" s="23" t="str">
        <f>('Elenco Prezzi'!$B$55)</f>
        <v>Distributore automatico bevande e caffè</v>
      </c>
      <c r="D386" s="70"/>
      <c r="E386" s="70"/>
      <c r="F386" s="70"/>
      <c r="G386" s="70"/>
      <c r="H386" s="69"/>
      <c r="I386" s="65"/>
      <c r="J386" s="65"/>
      <c r="K386" s="58" t="s">
        <v>231</v>
      </c>
      <c r="L386" s="58" t="s">
        <v>232</v>
      </c>
      <c r="M386" s="58" t="s">
        <v>232</v>
      </c>
      <c r="N386" s="58" t="s">
        <v>234</v>
      </c>
      <c r="DF386" s="8" t="s">
        <v>514</v>
      </c>
    </row>
    <row r="387" spans="1:110" hidden="1" outlineLevel="1" x14ac:dyDescent="0.25">
      <c r="C387" s="57" t="str">
        <f>('Elenco Prezzi'!$B$56)</f>
        <v>Distributore automatico bevande e caffè</v>
      </c>
      <c r="D387" s="70"/>
      <c r="E387" s="70"/>
      <c r="F387" s="70"/>
      <c r="G387" s="70"/>
      <c r="H387" s="69"/>
      <c r="I387" s="65"/>
      <c r="J387" s="65"/>
      <c r="DF387" s="8" t="s">
        <v>514</v>
      </c>
    </row>
    <row r="388" spans="1:110" hidden="1" outlineLevel="1" x14ac:dyDescent="0.25">
      <c r="C388" s="57" t="str">
        <f>('Elenco Prezzi'!$B$57)</f>
        <v>Distributore automatico bevande e caffè</v>
      </c>
      <c r="D388" s="70"/>
      <c r="E388" s="70"/>
      <c r="F388" s="70"/>
      <c r="G388" s="70"/>
      <c r="H388" s="69"/>
      <c r="I388" s="65"/>
      <c r="J388" s="65"/>
      <c r="DF388" s="8" t="s">
        <v>514</v>
      </c>
    </row>
    <row r="389" spans="1:110" outlineLevel="1" x14ac:dyDescent="0.25">
      <c r="C389" s="59" t="s">
        <v>235</v>
      </c>
      <c r="D389" s="70"/>
      <c r="E389" s="70"/>
      <c r="F389" s="70"/>
      <c r="G389" s="70"/>
      <c r="H389" s="69"/>
      <c r="I389" s="65"/>
      <c r="J389" s="65"/>
      <c r="DF389" s="8" t="s">
        <v>514</v>
      </c>
    </row>
    <row r="390" spans="1:110" ht="31.5" outlineLevel="1" x14ac:dyDescent="0.25">
      <c r="C390" s="5" t="s">
        <v>332</v>
      </c>
      <c r="D390" s="70">
        <v>1</v>
      </c>
      <c r="E390" s="70"/>
      <c r="F390" s="70"/>
      <c r="G390" s="70"/>
      <c r="H390" s="69">
        <f>PRODUCT($CV$390,$CW$390,$CX$390,$CY$390)</f>
        <v>1</v>
      </c>
      <c r="I390" s="65"/>
      <c r="J390" s="65"/>
      <c r="CV390" s="8">
        <f>(1)</f>
        <v>1</v>
      </c>
      <c r="DF390" s="8" t="s">
        <v>514</v>
      </c>
    </row>
    <row r="391" spans="1:110" ht="31.5" outlineLevel="1" x14ac:dyDescent="0.25">
      <c r="C391" s="5" t="s">
        <v>333</v>
      </c>
      <c r="D391" s="70">
        <v>1</v>
      </c>
      <c r="E391" s="70"/>
      <c r="F391" s="70"/>
      <c r="G391" s="70"/>
      <c r="H391" s="69">
        <f>PRODUCT($CV$391,$CW$391,$CX$391,$CY$391)</f>
        <v>1</v>
      </c>
      <c r="I391" s="65"/>
      <c r="J391" s="65"/>
      <c r="CV391" s="8">
        <f>(1)</f>
        <v>1</v>
      </c>
      <c r="DF391" s="8" t="s">
        <v>514</v>
      </c>
    </row>
    <row r="392" spans="1:110" x14ac:dyDescent="0.25">
      <c r="C392" s="60" t="str">
        <f>CONCATENATE("SOMMANO " &amp; 'Elenco Prezzi'!$C$55)</f>
        <v>SOMMANO Cad. Uno</v>
      </c>
      <c r="D392" s="70"/>
      <c r="E392" s="70"/>
      <c r="F392" s="70"/>
      <c r="G392" s="70"/>
      <c r="H392" s="69">
        <f>SUM($H$390:$H$391)</f>
        <v>2</v>
      </c>
      <c r="I392" s="65">
        <f>('Elenco Prezzi'!$D$55)</f>
        <v>820</v>
      </c>
      <c r="J392" s="65">
        <f>PRODUCT($H$392,$I$392)</f>
        <v>1640</v>
      </c>
      <c r="DF392" s="8" t="s">
        <v>514</v>
      </c>
    </row>
    <row r="393" spans="1:110" ht="31.5" x14ac:dyDescent="0.25">
      <c r="A393" s="3">
        <v>44</v>
      </c>
      <c r="B393" s="56" t="str">
        <f>('Elenco Prezzi'!$A$58)</f>
        <v>550.101</v>
      </c>
      <c r="C393" s="23" t="str">
        <f>('Elenco Prezzi'!$B$58)</f>
        <v>Cemento per pavimentazioni</v>
      </c>
      <c r="D393" s="70"/>
      <c r="E393" s="70"/>
      <c r="F393" s="70"/>
      <c r="G393" s="70"/>
      <c r="H393" s="69"/>
      <c r="I393" s="65"/>
      <c r="J393" s="65"/>
      <c r="K393" s="58" t="s">
        <v>231</v>
      </c>
      <c r="L393" s="58" t="s">
        <v>232</v>
      </c>
      <c r="M393" s="58" t="s">
        <v>233</v>
      </c>
      <c r="N393" s="58" t="s">
        <v>234</v>
      </c>
      <c r="DF393" s="8" t="s">
        <v>514</v>
      </c>
    </row>
    <row r="394" spans="1:110" hidden="1" outlineLevel="1" x14ac:dyDescent="0.25">
      <c r="C394" s="57" t="str">
        <f>('Elenco Prezzi'!$B$59)</f>
        <v>Cemento per pavimentazioni</v>
      </c>
      <c r="D394" s="70"/>
      <c r="E394" s="70"/>
      <c r="F394" s="70"/>
      <c r="G394" s="70"/>
      <c r="H394" s="69"/>
      <c r="I394" s="65"/>
      <c r="J394" s="65"/>
      <c r="DF394" s="8" t="s">
        <v>514</v>
      </c>
    </row>
    <row r="395" spans="1:110" hidden="1" outlineLevel="1" x14ac:dyDescent="0.25">
      <c r="C395" s="57" t="str">
        <f>('Elenco Prezzi'!$B$60)</f>
        <v>Cemento per pavimentazioni</v>
      </c>
      <c r="D395" s="70"/>
      <c r="E395" s="70"/>
      <c r="F395" s="70"/>
      <c r="G395" s="70"/>
      <c r="H395" s="69"/>
      <c r="I395" s="65"/>
      <c r="J395" s="65"/>
      <c r="DF395" s="8" t="s">
        <v>514</v>
      </c>
    </row>
    <row r="396" spans="1:110" outlineLevel="1" x14ac:dyDescent="0.25">
      <c r="C396" s="59" t="s">
        <v>235</v>
      </c>
      <c r="D396" s="70"/>
      <c r="E396" s="70"/>
      <c r="F396" s="70"/>
      <c r="G396" s="70"/>
      <c r="H396" s="69"/>
      <c r="I396" s="65"/>
      <c r="J396" s="65"/>
      <c r="DF396" s="8" t="s">
        <v>514</v>
      </c>
    </row>
    <row r="397" spans="1:110" ht="31.5" outlineLevel="1" x14ac:dyDescent="0.25">
      <c r="C397" s="5" t="s">
        <v>236</v>
      </c>
      <c r="D397" s="70">
        <v>341.392</v>
      </c>
      <c r="E397" s="70"/>
      <c r="F397" s="70"/>
      <c r="G397" s="70">
        <v>0.04</v>
      </c>
      <c r="H397" s="69">
        <f>PRODUCT($CV$397,$CW$397,$CX$397,$CY$397)</f>
        <v>13.65568</v>
      </c>
      <c r="I397" s="65"/>
      <c r="J397" s="65"/>
      <c r="CV397" s="8">
        <f>(341.392)</f>
        <v>341.392</v>
      </c>
      <c r="CY397" s="8">
        <f>(0.04)</f>
        <v>0.04</v>
      </c>
      <c r="DF397" s="8" t="s">
        <v>514</v>
      </c>
    </row>
    <row r="398" spans="1:110" x14ac:dyDescent="0.25">
      <c r="C398" s="60" t="str">
        <f>CONCATENATE("SOMMANO " &amp; 'Elenco Prezzi'!$C$58)</f>
        <v>SOMMANO m3</v>
      </c>
      <c r="D398" s="70"/>
      <c r="E398" s="70"/>
      <c r="F398" s="70"/>
      <c r="G398" s="70"/>
      <c r="H398" s="69">
        <f>SUM($H$397:$H$397)</f>
        <v>13.65568</v>
      </c>
      <c r="I398" s="65">
        <f>('Elenco Prezzi'!$D$58)</f>
        <v>7</v>
      </c>
      <c r="J398" s="65">
        <f>PRODUCT($H$398,$I$398)</f>
        <v>95.589759999999998</v>
      </c>
      <c r="DF398" s="8" t="s">
        <v>514</v>
      </c>
    </row>
    <row r="399" spans="1:110" ht="31.5" x14ac:dyDescent="0.25">
      <c r="A399" s="3">
        <v>45</v>
      </c>
      <c r="B399" s="56" t="str">
        <f>('Elenco Prezzi'!$A$58)</f>
        <v>550.101</v>
      </c>
      <c r="C399" s="23" t="str">
        <f>('Elenco Prezzi'!$B$58)</f>
        <v>Cemento per pavimentazioni</v>
      </c>
      <c r="D399" s="70"/>
      <c r="E399" s="70"/>
      <c r="F399" s="70"/>
      <c r="G399" s="70"/>
      <c r="H399" s="69"/>
      <c r="I399" s="65"/>
      <c r="J399" s="65"/>
      <c r="K399" s="58" t="s">
        <v>237</v>
      </c>
      <c r="L399" s="58" t="s">
        <v>232</v>
      </c>
      <c r="M399" s="58" t="s">
        <v>233</v>
      </c>
      <c r="N399" s="58" t="s">
        <v>234</v>
      </c>
      <c r="DF399" s="8" t="s">
        <v>514</v>
      </c>
    </row>
    <row r="400" spans="1:110" hidden="1" outlineLevel="1" x14ac:dyDescent="0.25">
      <c r="C400" s="57" t="str">
        <f>('Elenco Prezzi'!$B$59)</f>
        <v>Cemento per pavimentazioni</v>
      </c>
      <c r="D400" s="70"/>
      <c r="E400" s="70"/>
      <c r="F400" s="70"/>
      <c r="G400" s="70"/>
      <c r="H400" s="69"/>
      <c r="I400" s="65"/>
      <c r="J400" s="65"/>
      <c r="DF400" s="8" t="s">
        <v>514</v>
      </c>
    </row>
    <row r="401" spans="1:110" hidden="1" outlineLevel="1" x14ac:dyDescent="0.25">
      <c r="C401" s="57" t="str">
        <f>('Elenco Prezzi'!$B$60)</f>
        <v>Cemento per pavimentazioni</v>
      </c>
      <c r="D401" s="70"/>
      <c r="E401" s="70"/>
      <c r="F401" s="70"/>
      <c r="G401" s="70"/>
      <c r="H401" s="69"/>
      <c r="I401" s="65"/>
      <c r="J401" s="65"/>
      <c r="DF401" s="8" t="s">
        <v>514</v>
      </c>
    </row>
    <row r="402" spans="1:110" outlineLevel="1" x14ac:dyDescent="0.25">
      <c r="C402" s="59" t="s">
        <v>235</v>
      </c>
      <c r="D402" s="70"/>
      <c r="E402" s="70"/>
      <c r="F402" s="70"/>
      <c r="G402" s="70"/>
      <c r="H402" s="69"/>
      <c r="I402" s="65"/>
      <c r="J402" s="65"/>
      <c r="DF402" s="8" t="s">
        <v>514</v>
      </c>
    </row>
    <row r="403" spans="1:110" ht="31.5" outlineLevel="1" x14ac:dyDescent="0.25">
      <c r="C403" s="5" t="s">
        <v>238</v>
      </c>
      <c r="D403" s="70">
        <v>341.392</v>
      </c>
      <c r="E403" s="70"/>
      <c r="F403" s="70"/>
      <c r="G403" s="70">
        <v>0.04</v>
      </c>
      <c r="H403" s="69">
        <f>PRODUCT($CV$403,$CW$403,$CX$403,$CY$403)</f>
        <v>13.65568</v>
      </c>
      <c r="I403" s="65"/>
      <c r="J403" s="65"/>
      <c r="CV403" s="8">
        <f>(341.392)</f>
        <v>341.392</v>
      </c>
      <c r="CY403" s="8">
        <f>(0.04)</f>
        <v>0.04</v>
      </c>
      <c r="DF403" s="8" t="s">
        <v>514</v>
      </c>
    </row>
    <row r="404" spans="1:110" x14ac:dyDescent="0.25">
      <c r="C404" s="60" t="str">
        <f>CONCATENATE("SOMMANO " &amp; 'Elenco Prezzi'!$C$58)</f>
        <v>SOMMANO m3</v>
      </c>
      <c r="D404" s="70"/>
      <c r="E404" s="70"/>
      <c r="F404" s="70"/>
      <c r="G404" s="70"/>
      <c r="H404" s="69">
        <f>SUM($H$403:$H$403)</f>
        <v>13.65568</v>
      </c>
      <c r="I404" s="65">
        <f>('Elenco Prezzi'!$D$58)</f>
        <v>7</v>
      </c>
      <c r="J404" s="65">
        <f>PRODUCT($H$404,$I$404)</f>
        <v>95.589759999999998</v>
      </c>
      <c r="DF404" s="8" t="s">
        <v>514</v>
      </c>
    </row>
    <row r="405" spans="1:110" ht="31.5" x14ac:dyDescent="0.25">
      <c r="A405" s="3">
        <v>46</v>
      </c>
      <c r="B405" s="56" t="str">
        <f>('Elenco Prezzi'!$A$61)</f>
        <v>580.001</v>
      </c>
      <c r="C405" s="23" t="str">
        <f>('Elenco Prezzi'!$B$61)</f>
        <v>Pannellatura per controsoffitto spesso 5 cm</v>
      </c>
      <c r="D405" s="70"/>
      <c r="E405" s="70"/>
      <c r="F405" s="70"/>
      <c r="G405" s="70"/>
      <c r="H405" s="69"/>
      <c r="I405" s="65"/>
      <c r="J405" s="65"/>
      <c r="K405" s="58" t="s">
        <v>231</v>
      </c>
      <c r="L405" s="58" t="s">
        <v>232</v>
      </c>
      <c r="M405" s="58" t="s">
        <v>232</v>
      </c>
      <c r="N405" s="58" t="s">
        <v>234</v>
      </c>
      <c r="DF405" s="8" t="s">
        <v>514</v>
      </c>
    </row>
    <row r="406" spans="1:110" hidden="1" outlineLevel="1" x14ac:dyDescent="0.25">
      <c r="C406" s="57" t="str">
        <f>('Elenco Prezzi'!$B$62)</f>
        <v>Pannellatura per controsoffitto spesso 5 cm</v>
      </c>
      <c r="D406" s="70"/>
      <c r="E406" s="70"/>
      <c r="F406" s="70"/>
      <c r="G406" s="70"/>
      <c r="H406" s="69"/>
      <c r="I406" s="65"/>
      <c r="J406" s="65"/>
      <c r="DF406" s="8" t="s">
        <v>514</v>
      </c>
    </row>
    <row r="407" spans="1:110" hidden="1" outlineLevel="1" x14ac:dyDescent="0.25">
      <c r="C407" s="57" t="str">
        <f>('Elenco Prezzi'!$B$63)</f>
        <v>Pannellatura per controsoffitto spesso 5 cm</v>
      </c>
      <c r="D407" s="70"/>
      <c r="E407" s="70"/>
      <c r="F407" s="70"/>
      <c r="G407" s="70"/>
      <c r="H407" s="69"/>
      <c r="I407" s="65"/>
      <c r="J407" s="65"/>
      <c r="DF407" s="8" t="s">
        <v>514</v>
      </c>
    </row>
    <row r="408" spans="1:110" outlineLevel="1" x14ac:dyDescent="0.25">
      <c r="C408" s="59" t="s">
        <v>235</v>
      </c>
      <c r="D408" s="70"/>
      <c r="E408" s="70"/>
      <c r="F408" s="70"/>
      <c r="G408" s="70"/>
      <c r="H408" s="69"/>
      <c r="I408" s="65"/>
      <c r="J408" s="65"/>
      <c r="DF408" s="8" t="s">
        <v>514</v>
      </c>
    </row>
    <row r="409" spans="1:110" ht="31.5" outlineLevel="1" x14ac:dyDescent="0.25">
      <c r="C409" s="5" t="s">
        <v>334</v>
      </c>
      <c r="D409" s="70">
        <v>238</v>
      </c>
      <c r="E409" s="70"/>
      <c r="F409" s="70"/>
      <c r="G409" s="70">
        <v>0.05</v>
      </c>
      <c r="H409" s="69">
        <f>PRODUCT($CV$409,$CW$409,$CX$409,$CY$409)</f>
        <v>11.9</v>
      </c>
      <c r="I409" s="65"/>
      <c r="J409" s="65"/>
      <c r="CV409" s="8">
        <f>(238)</f>
        <v>238</v>
      </c>
      <c r="CY409" s="8">
        <f>(0.05)</f>
        <v>0.05</v>
      </c>
      <c r="DF409" s="8" t="s">
        <v>514</v>
      </c>
    </row>
    <row r="410" spans="1:110" x14ac:dyDescent="0.25">
      <c r="C410" s="60" t="str">
        <f>CONCATENATE("SOMMANO " &amp; 'Elenco Prezzi'!$C$61)</f>
        <v>SOMMANO m3</v>
      </c>
      <c r="D410" s="70"/>
      <c r="E410" s="70"/>
      <c r="F410" s="70"/>
      <c r="G410" s="70"/>
      <c r="H410" s="69">
        <f>SUM($H$409:$H$409)</f>
        <v>11.9</v>
      </c>
      <c r="I410" s="65">
        <f>('Elenco Prezzi'!$D$61)</f>
        <v>38</v>
      </c>
      <c r="J410" s="65">
        <f>PRODUCT($H$410,$I$410)</f>
        <v>452.2</v>
      </c>
      <c r="DF410" s="8" t="s">
        <v>514</v>
      </c>
    </row>
    <row r="411" spans="1:110" ht="31.5" x14ac:dyDescent="0.25">
      <c r="A411" s="3">
        <v>47</v>
      </c>
      <c r="B411" s="56" t="str">
        <f>('Elenco Prezzi'!$A$64)</f>
        <v>600.001</v>
      </c>
      <c r="C411" s="23" t="str">
        <f>('Elenco Prezzi'!$B$64)</f>
        <v>Sedia per impiegati</v>
      </c>
      <c r="D411" s="70"/>
      <c r="E411" s="70"/>
      <c r="F411" s="70"/>
      <c r="G411" s="70"/>
      <c r="H411" s="69"/>
      <c r="I411" s="65"/>
      <c r="J411" s="65"/>
      <c r="K411" s="58" t="s">
        <v>231</v>
      </c>
      <c r="L411" s="58" t="s">
        <v>232</v>
      </c>
      <c r="M411" s="58" t="s">
        <v>232</v>
      </c>
      <c r="N411" s="58" t="s">
        <v>234</v>
      </c>
      <c r="DF411" s="8" t="s">
        <v>514</v>
      </c>
    </row>
    <row r="412" spans="1:110" hidden="1" outlineLevel="1" x14ac:dyDescent="0.25">
      <c r="C412" s="57" t="str">
        <f>('Elenco Prezzi'!$B$65)</f>
        <v>Sedia per impiegati</v>
      </c>
      <c r="D412" s="70"/>
      <c r="E412" s="70"/>
      <c r="F412" s="70"/>
      <c r="G412" s="70"/>
      <c r="H412" s="69"/>
      <c r="I412" s="65"/>
      <c r="J412" s="65"/>
      <c r="DF412" s="8" t="s">
        <v>514</v>
      </c>
    </row>
    <row r="413" spans="1:110" hidden="1" outlineLevel="1" x14ac:dyDescent="0.25">
      <c r="C413" s="57" t="str">
        <f>('Elenco Prezzi'!$B$66)</f>
        <v>Sedia per impiegati</v>
      </c>
      <c r="D413" s="70"/>
      <c r="E413" s="70"/>
      <c r="F413" s="70"/>
      <c r="G413" s="70"/>
      <c r="H413" s="69"/>
      <c r="I413" s="65"/>
      <c r="J413" s="65"/>
      <c r="DF413" s="8" t="s">
        <v>514</v>
      </c>
    </row>
    <row r="414" spans="1:110" outlineLevel="1" x14ac:dyDescent="0.25">
      <c r="C414" s="59" t="s">
        <v>235</v>
      </c>
      <c r="D414" s="70"/>
      <c r="E414" s="70"/>
      <c r="F414" s="70"/>
      <c r="G414" s="70"/>
      <c r="H414" s="69"/>
      <c r="I414" s="65"/>
      <c r="J414" s="65"/>
      <c r="DF414" s="8" t="s">
        <v>514</v>
      </c>
    </row>
    <row r="415" spans="1:110" outlineLevel="1" x14ac:dyDescent="0.25">
      <c r="C415" s="5" t="s">
        <v>335</v>
      </c>
      <c r="D415" s="70">
        <v>16</v>
      </c>
      <c r="E415" s="70"/>
      <c r="F415" s="70"/>
      <c r="G415" s="70"/>
      <c r="H415" s="69">
        <f>PRODUCT($CV$415,$CW$415,$CX$415,$CY$415)</f>
        <v>16</v>
      </c>
      <c r="I415" s="65"/>
      <c r="J415" s="65"/>
      <c r="CV415" s="8">
        <f>(16)</f>
        <v>16</v>
      </c>
      <c r="DF415" s="8" t="s">
        <v>514</v>
      </c>
    </row>
    <row r="416" spans="1:110" x14ac:dyDescent="0.25">
      <c r="C416" s="60" t="str">
        <f>CONCATENATE("SOMMANO " &amp; 'Elenco Prezzi'!$C$64)</f>
        <v>SOMMANO Cad. Uno</v>
      </c>
      <c r="D416" s="70"/>
      <c r="E416" s="70"/>
      <c r="F416" s="70"/>
      <c r="G416" s="70"/>
      <c r="H416" s="69">
        <f>SUM($H$415:$H$415)</f>
        <v>16</v>
      </c>
      <c r="I416" s="65">
        <f>('Elenco Prezzi'!$D$64)</f>
        <v>75</v>
      </c>
      <c r="J416" s="65">
        <f>PRODUCT($H$416,$I$416)</f>
        <v>1200</v>
      </c>
      <c r="DF416" s="8" t="s">
        <v>514</v>
      </c>
    </row>
    <row r="417" spans="1:110" ht="31.5" x14ac:dyDescent="0.25">
      <c r="A417" s="3">
        <v>48</v>
      </c>
      <c r="B417" s="56" t="str">
        <f>('Elenco Prezzi'!$A$67)</f>
        <v>600.002</v>
      </c>
      <c r="C417" s="23" t="str">
        <f>('Elenco Prezzi'!$B$67)</f>
        <v>Tavolino per impiegati</v>
      </c>
      <c r="D417" s="70"/>
      <c r="E417" s="70"/>
      <c r="F417" s="70"/>
      <c r="G417" s="70"/>
      <c r="H417" s="69"/>
      <c r="I417" s="65"/>
      <c r="J417" s="65"/>
      <c r="K417" s="58" t="s">
        <v>231</v>
      </c>
      <c r="L417" s="58" t="s">
        <v>232</v>
      </c>
      <c r="M417" s="58" t="s">
        <v>232</v>
      </c>
      <c r="N417" s="58" t="s">
        <v>234</v>
      </c>
      <c r="DF417" s="8" t="s">
        <v>514</v>
      </c>
    </row>
    <row r="418" spans="1:110" hidden="1" outlineLevel="1" x14ac:dyDescent="0.25">
      <c r="C418" s="57" t="str">
        <f>('Elenco Prezzi'!$B$68)</f>
        <v>Tavolino per impiegati</v>
      </c>
      <c r="D418" s="70"/>
      <c r="E418" s="70"/>
      <c r="F418" s="70"/>
      <c r="G418" s="70"/>
      <c r="H418" s="69"/>
      <c r="I418" s="65"/>
      <c r="J418" s="65"/>
      <c r="DF418" s="8" t="s">
        <v>514</v>
      </c>
    </row>
    <row r="419" spans="1:110" hidden="1" outlineLevel="1" x14ac:dyDescent="0.25">
      <c r="C419" s="57" t="str">
        <f>('Elenco Prezzi'!$B$69)</f>
        <v>Tavolino per impiegati</v>
      </c>
      <c r="D419" s="70"/>
      <c r="E419" s="70"/>
      <c r="F419" s="70"/>
      <c r="G419" s="70"/>
      <c r="H419" s="69"/>
      <c r="I419" s="65"/>
      <c r="J419" s="65"/>
      <c r="DF419" s="8" t="s">
        <v>514</v>
      </c>
    </row>
    <row r="420" spans="1:110" outlineLevel="1" x14ac:dyDescent="0.25">
      <c r="C420" s="59" t="s">
        <v>235</v>
      </c>
      <c r="D420" s="70"/>
      <c r="E420" s="70"/>
      <c r="F420" s="70"/>
      <c r="G420" s="70"/>
      <c r="H420" s="69"/>
      <c r="I420" s="65"/>
      <c r="J420" s="65"/>
      <c r="DF420" s="8" t="s">
        <v>514</v>
      </c>
    </row>
    <row r="421" spans="1:110" ht="31.5" outlineLevel="1" x14ac:dyDescent="0.25">
      <c r="C421" s="5" t="s">
        <v>336</v>
      </c>
      <c r="D421" s="70">
        <v>9</v>
      </c>
      <c r="E421" s="70"/>
      <c r="F421" s="70"/>
      <c r="G421" s="70"/>
      <c r="H421" s="69">
        <f>PRODUCT($CV$421,$CW$421,$CX$421,$CY$421)</f>
        <v>9</v>
      </c>
      <c r="I421" s="65"/>
      <c r="J421" s="65"/>
      <c r="CV421" s="8">
        <f>(9)</f>
        <v>9</v>
      </c>
      <c r="DF421" s="8" t="s">
        <v>514</v>
      </c>
    </row>
    <row r="422" spans="1:110" x14ac:dyDescent="0.25">
      <c r="C422" s="60" t="str">
        <f>CONCATENATE("SOMMANO " &amp; 'Elenco Prezzi'!$C$67)</f>
        <v>SOMMANO Cad. Uno</v>
      </c>
      <c r="D422" s="70"/>
      <c r="E422" s="70"/>
      <c r="F422" s="70"/>
      <c r="G422" s="70"/>
      <c r="H422" s="69">
        <f>SUM($H$421:$H$421)</f>
        <v>9</v>
      </c>
      <c r="I422" s="65">
        <f>('Elenco Prezzi'!$D$67)</f>
        <v>100</v>
      </c>
      <c r="J422" s="65">
        <f>PRODUCT($H$422,$I$422)</f>
        <v>900</v>
      </c>
      <c r="DF422" s="8" t="s">
        <v>514</v>
      </c>
    </row>
    <row r="423" spans="1:110" ht="31.5" x14ac:dyDescent="0.25">
      <c r="A423" s="3">
        <v>49</v>
      </c>
      <c r="B423" s="56" t="str">
        <f>('Elenco Prezzi'!$A$70)</f>
        <v>600.003</v>
      </c>
      <c r="C423" s="23" t="str">
        <f>('Elenco Prezzi'!$B$70)</f>
        <v>Tavolino direzionale per sale riunioni</v>
      </c>
      <c r="D423" s="70"/>
      <c r="E423" s="70"/>
      <c r="F423" s="70"/>
      <c r="G423" s="70"/>
      <c r="H423" s="69"/>
      <c r="I423" s="65"/>
      <c r="J423" s="65"/>
      <c r="K423" s="58" t="s">
        <v>231</v>
      </c>
      <c r="L423" s="58" t="s">
        <v>232</v>
      </c>
      <c r="M423" s="58" t="s">
        <v>232</v>
      </c>
      <c r="N423" s="58" t="s">
        <v>234</v>
      </c>
      <c r="DF423" s="8" t="s">
        <v>514</v>
      </c>
    </row>
    <row r="424" spans="1:110" hidden="1" outlineLevel="1" x14ac:dyDescent="0.25">
      <c r="C424" s="57" t="str">
        <f>('Elenco Prezzi'!$B$71)</f>
        <v>Tavolino direzionale per sale riunioni</v>
      </c>
      <c r="D424" s="70"/>
      <c r="E424" s="70"/>
      <c r="F424" s="70"/>
      <c r="G424" s="70"/>
      <c r="H424" s="69"/>
      <c r="I424" s="65"/>
      <c r="J424" s="65"/>
      <c r="DF424" s="8" t="s">
        <v>514</v>
      </c>
    </row>
    <row r="425" spans="1:110" hidden="1" outlineLevel="1" x14ac:dyDescent="0.25">
      <c r="C425" s="57" t="str">
        <f>('Elenco Prezzi'!$B$72)</f>
        <v>Tavolino direzionale per sale riunioni</v>
      </c>
      <c r="D425" s="70"/>
      <c r="E425" s="70"/>
      <c r="F425" s="70"/>
      <c r="G425" s="70"/>
      <c r="H425" s="69"/>
      <c r="I425" s="65"/>
      <c r="J425" s="65"/>
      <c r="DF425" s="8" t="s">
        <v>514</v>
      </c>
    </row>
    <row r="426" spans="1:110" outlineLevel="1" x14ac:dyDescent="0.25">
      <c r="C426" s="59" t="s">
        <v>235</v>
      </c>
      <c r="D426" s="70"/>
      <c r="E426" s="70"/>
      <c r="F426" s="70"/>
      <c r="G426" s="70"/>
      <c r="H426" s="69"/>
      <c r="I426" s="65"/>
      <c r="J426" s="65"/>
      <c r="DF426" s="8" t="s">
        <v>514</v>
      </c>
    </row>
    <row r="427" spans="1:110" outlineLevel="1" x14ac:dyDescent="0.25">
      <c r="C427" s="5" t="s">
        <v>337</v>
      </c>
      <c r="D427" s="70">
        <v>1</v>
      </c>
      <c r="E427" s="70"/>
      <c r="F427" s="70"/>
      <c r="G427" s="70"/>
      <c r="H427" s="69">
        <f>PRODUCT($CV$427,$CW$427,$CX$427,$CY$427)</f>
        <v>1</v>
      </c>
      <c r="I427" s="65"/>
      <c r="J427" s="65"/>
      <c r="CV427" s="8">
        <f>(1)</f>
        <v>1</v>
      </c>
      <c r="DF427" s="8" t="s">
        <v>514</v>
      </c>
    </row>
    <row r="428" spans="1:110" x14ac:dyDescent="0.25">
      <c r="C428" s="60" t="str">
        <f>CONCATENATE("SOMMANO " &amp; 'Elenco Prezzi'!$C$70)</f>
        <v>SOMMANO Cad. Uno</v>
      </c>
      <c r="D428" s="70"/>
      <c r="E428" s="70"/>
      <c r="F428" s="70"/>
      <c r="G428" s="70"/>
      <c r="H428" s="69">
        <f>SUM($H$427:$H$427)</f>
        <v>1</v>
      </c>
      <c r="I428" s="65">
        <f>('Elenco Prezzi'!$D$70)</f>
        <v>100</v>
      </c>
      <c r="J428" s="65">
        <f>PRODUCT($H$428,$I$428)</f>
        <v>100</v>
      </c>
      <c r="DF428" s="8" t="s">
        <v>514</v>
      </c>
    </row>
    <row r="429" spans="1:110" ht="31.5" x14ac:dyDescent="0.25">
      <c r="A429" s="3">
        <v>50</v>
      </c>
      <c r="B429" s="56" t="str">
        <f>('Elenco Prezzi'!$A$73)</f>
        <v>600.004</v>
      </c>
      <c r="C429" s="23" t="str">
        <f>('Elenco Prezzi'!$B$73)</f>
        <v>Sedia direzionale o per dipendenti</v>
      </c>
      <c r="D429" s="70"/>
      <c r="E429" s="70"/>
      <c r="F429" s="70"/>
      <c r="G429" s="70"/>
      <c r="H429" s="69"/>
      <c r="I429" s="65"/>
      <c r="J429" s="65"/>
      <c r="K429" s="58" t="s">
        <v>231</v>
      </c>
      <c r="L429" s="58" t="s">
        <v>232</v>
      </c>
      <c r="M429" s="58" t="s">
        <v>232</v>
      </c>
      <c r="N429" s="58" t="s">
        <v>234</v>
      </c>
      <c r="DF429" s="8" t="s">
        <v>514</v>
      </c>
    </row>
    <row r="430" spans="1:110" hidden="1" outlineLevel="1" x14ac:dyDescent="0.25">
      <c r="C430" s="57" t="str">
        <f>('Elenco Prezzi'!$B$74)</f>
        <v>Sedia direzionale o per dipendenti</v>
      </c>
      <c r="D430" s="70"/>
      <c r="E430" s="70"/>
      <c r="F430" s="70"/>
      <c r="G430" s="70"/>
      <c r="H430" s="69"/>
      <c r="I430" s="65"/>
      <c r="J430" s="65"/>
      <c r="DF430" s="8" t="s">
        <v>514</v>
      </c>
    </row>
    <row r="431" spans="1:110" hidden="1" outlineLevel="1" x14ac:dyDescent="0.25">
      <c r="C431" s="57" t="str">
        <f>('Elenco Prezzi'!$B$75)</f>
        <v>Sedia direzionale o per dipendenti</v>
      </c>
      <c r="D431" s="70"/>
      <c r="E431" s="70"/>
      <c r="F431" s="70"/>
      <c r="G431" s="70"/>
      <c r="H431" s="69"/>
      <c r="I431" s="65"/>
      <c r="J431" s="65"/>
      <c r="DF431" s="8" t="s">
        <v>514</v>
      </c>
    </row>
    <row r="432" spans="1:110" outlineLevel="1" x14ac:dyDescent="0.25">
      <c r="C432" s="59" t="s">
        <v>235</v>
      </c>
      <c r="D432" s="70"/>
      <c r="E432" s="70"/>
      <c r="F432" s="70"/>
      <c r="G432" s="70"/>
      <c r="H432" s="69"/>
      <c r="I432" s="65"/>
      <c r="J432" s="65"/>
      <c r="DF432" s="8" t="s">
        <v>514</v>
      </c>
    </row>
    <row r="433" spans="1:110" ht="31.5" outlineLevel="1" x14ac:dyDescent="0.25">
      <c r="C433" s="5" t="s">
        <v>338</v>
      </c>
      <c r="D433" s="70">
        <v>9</v>
      </c>
      <c r="E433" s="70"/>
      <c r="F433" s="70"/>
      <c r="G433" s="70"/>
      <c r="H433" s="69">
        <f>PRODUCT($CV$433,$CW$433,$CX$433,$CY$433)</f>
        <v>9</v>
      </c>
      <c r="I433" s="65"/>
      <c r="J433" s="65"/>
      <c r="CV433" s="8">
        <f>(9)</f>
        <v>9</v>
      </c>
      <c r="DF433" s="8" t="s">
        <v>514</v>
      </c>
    </row>
    <row r="434" spans="1:110" x14ac:dyDescent="0.25">
      <c r="C434" s="60" t="str">
        <f>CONCATENATE("SOMMANO " &amp; 'Elenco Prezzi'!$C$73)</f>
        <v>SOMMANO Cad. Uno</v>
      </c>
      <c r="D434" s="70"/>
      <c r="E434" s="70"/>
      <c r="F434" s="70"/>
      <c r="G434" s="70"/>
      <c r="H434" s="69">
        <f>SUM($H$433:$H$433)</f>
        <v>9</v>
      </c>
      <c r="I434" s="65">
        <f>('Elenco Prezzi'!$D$73)</f>
        <v>125</v>
      </c>
      <c r="J434" s="65">
        <f>PRODUCT($H$434,$I$434)</f>
        <v>1125</v>
      </c>
      <c r="DF434" s="8" t="s">
        <v>514</v>
      </c>
    </row>
    <row r="435" spans="1:110" ht="31.5" x14ac:dyDescent="0.25">
      <c r="A435" s="3">
        <v>51</v>
      </c>
      <c r="B435" s="56" t="str">
        <f>('Elenco Prezzi'!$A$76)</f>
        <v>650.001</v>
      </c>
      <c r="C435" s="23" t="str">
        <f>('Elenco Prezzi'!$B$76)</f>
        <v>Postazione desk per cassa al pubblico</v>
      </c>
      <c r="D435" s="70"/>
      <c r="E435" s="70"/>
      <c r="F435" s="70"/>
      <c r="G435" s="70"/>
      <c r="H435" s="69"/>
      <c r="I435" s="65"/>
      <c r="J435" s="65"/>
      <c r="K435" s="58" t="s">
        <v>231</v>
      </c>
      <c r="L435" s="58" t="s">
        <v>232</v>
      </c>
      <c r="M435" s="58" t="s">
        <v>232</v>
      </c>
      <c r="N435" s="58" t="s">
        <v>234</v>
      </c>
      <c r="DF435" s="8" t="s">
        <v>514</v>
      </c>
    </row>
    <row r="436" spans="1:110" hidden="1" outlineLevel="1" x14ac:dyDescent="0.25">
      <c r="C436" s="57" t="str">
        <f>('Elenco Prezzi'!$B$77)</f>
        <v>Postazione desk per cassa al pubblico</v>
      </c>
      <c r="D436" s="70"/>
      <c r="E436" s="70"/>
      <c r="F436" s="70"/>
      <c r="G436" s="70"/>
      <c r="H436" s="69"/>
      <c r="I436" s="65"/>
      <c r="J436" s="65"/>
      <c r="DF436" s="8" t="s">
        <v>514</v>
      </c>
    </row>
    <row r="437" spans="1:110" hidden="1" outlineLevel="1" x14ac:dyDescent="0.25">
      <c r="C437" s="57" t="str">
        <f>('Elenco Prezzi'!$B$78)</f>
        <v>Postazione desk per cassa al pubblico</v>
      </c>
      <c r="D437" s="70"/>
      <c r="E437" s="70"/>
      <c r="F437" s="70"/>
      <c r="G437" s="70"/>
      <c r="H437" s="69"/>
      <c r="I437" s="65"/>
      <c r="J437" s="65"/>
      <c r="DF437" s="8" t="s">
        <v>514</v>
      </c>
    </row>
    <row r="438" spans="1:110" outlineLevel="1" x14ac:dyDescent="0.25">
      <c r="C438" s="59" t="s">
        <v>235</v>
      </c>
      <c r="D438" s="70"/>
      <c r="E438" s="70"/>
      <c r="F438" s="70"/>
      <c r="G438" s="70"/>
      <c r="H438" s="69"/>
      <c r="I438" s="65"/>
      <c r="J438" s="65"/>
      <c r="DF438" s="8" t="s">
        <v>514</v>
      </c>
    </row>
    <row r="439" spans="1:110" ht="31.5" outlineLevel="1" x14ac:dyDescent="0.25">
      <c r="C439" s="5" t="s">
        <v>339</v>
      </c>
      <c r="D439" s="70">
        <v>5</v>
      </c>
      <c r="E439" s="70"/>
      <c r="F439" s="70"/>
      <c r="G439" s="70"/>
      <c r="H439" s="69">
        <f>PRODUCT($CV$439,$CW$439,$CX$439,$CY$439)</f>
        <v>5</v>
      </c>
      <c r="I439" s="65"/>
      <c r="J439" s="65"/>
      <c r="CV439" s="8">
        <f>(5)</f>
        <v>5</v>
      </c>
      <c r="DF439" s="8" t="s">
        <v>514</v>
      </c>
    </row>
    <row r="440" spans="1:110" x14ac:dyDescent="0.25">
      <c r="C440" s="60" t="str">
        <f>CONCATENATE("SOMMANO " &amp; 'Elenco Prezzi'!$C$76)</f>
        <v>SOMMANO Cad. Uno</v>
      </c>
      <c r="D440" s="70"/>
      <c r="E440" s="70"/>
      <c r="F440" s="70"/>
      <c r="G440" s="70"/>
      <c r="H440" s="69">
        <f>SUM($H$439:$H$439)</f>
        <v>5</v>
      </c>
      <c r="I440" s="65">
        <f>('Elenco Prezzi'!$D$76)</f>
        <v>140</v>
      </c>
      <c r="J440" s="65">
        <f>PRODUCT($H$440,$I$440)</f>
        <v>700</v>
      </c>
      <c r="DF440" s="8" t="s">
        <v>514</v>
      </c>
    </row>
    <row r="441" spans="1:110" ht="31.5" x14ac:dyDescent="0.25">
      <c r="A441" s="3">
        <v>52</v>
      </c>
      <c r="B441" s="56" t="str">
        <f>('Elenco Prezzi'!$A$79)</f>
        <v>650.002</v>
      </c>
      <c r="C441" s="23" t="str">
        <f>('Elenco Prezzi'!$B$79)</f>
        <v>Banco per cassa incluso nella postazione desk per cassa al pubblico</v>
      </c>
      <c r="D441" s="70"/>
      <c r="E441" s="70"/>
      <c r="F441" s="70"/>
      <c r="G441" s="70"/>
      <c r="H441" s="69"/>
      <c r="I441" s="65"/>
      <c r="J441" s="65"/>
      <c r="K441" s="58" t="s">
        <v>231</v>
      </c>
      <c r="L441" s="58" t="s">
        <v>232</v>
      </c>
      <c r="M441" s="58" t="s">
        <v>232</v>
      </c>
      <c r="N441" s="58" t="s">
        <v>234</v>
      </c>
      <c r="DF441" s="8" t="s">
        <v>514</v>
      </c>
    </row>
    <row r="442" spans="1:110" ht="31.5" hidden="1" outlineLevel="1" x14ac:dyDescent="0.25">
      <c r="C442" s="57" t="str">
        <f>('Elenco Prezzi'!$B$80)</f>
        <v>Banco per cassa incluso nella postazione desk per cassa al pubblico</v>
      </c>
      <c r="D442" s="70"/>
      <c r="E442" s="70"/>
      <c r="F442" s="70"/>
      <c r="G442" s="70"/>
      <c r="H442" s="69"/>
      <c r="I442" s="65"/>
      <c r="J442" s="65"/>
      <c r="DF442" s="8" t="s">
        <v>514</v>
      </c>
    </row>
    <row r="443" spans="1:110" ht="31.5" hidden="1" outlineLevel="1" x14ac:dyDescent="0.25">
      <c r="C443" s="57" t="str">
        <f>('Elenco Prezzi'!$B$81)</f>
        <v>Banco per cassa incluso nella postazione desk per cassa al pubblico</v>
      </c>
      <c r="D443" s="70"/>
      <c r="E443" s="70"/>
      <c r="F443" s="70"/>
      <c r="G443" s="70"/>
      <c r="H443" s="69"/>
      <c r="I443" s="65"/>
      <c r="J443" s="65"/>
      <c r="DF443" s="8" t="s">
        <v>514</v>
      </c>
    </row>
    <row r="444" spans="1:110" outlineLevel="1" x14ac:dyDescent="0.25">
      <c r="C444" s="59" t="s">
        <v>235</v>
      </c>
      <c r="D444" s="70"/>
      <c r="E444" s="70"/>
      <c r="F444" s="70"/>
      <c r="G444" s="70"/>
      <c r="H444" s="69"/>
      <c r="I444" s="65"/>
      <c r="J444" s="65"/>
      <c r="DF444" s="8" t="s">
        <v>514</v>
      </c>
    </row>
    <row r="445" spans="1:110" outlineLevel="1" x14ac:dyDescent="0.25">
      <c r="C445" s="5" t="s">
        <v>340</v>
      </c>
      <c r="D445" s="70">
        <v>5</v>
      </c>
      <c r="E445" s="70"/>
      <c r="F445" s="70"/>
      <c r="G445" s="70"/>
      <c r="H445" s="69">
        <f>PRODUCT($CV$445,$CW$445,$CX$445,$CY$445)</f>
        <v>5</v>
      </c>
      <c r="I445" s="65"/>
      <c r="J445" s="65"/>
      <c r="CV445" s="8">
        <f>(5)</f>
        <v>5</v>
      </c>
      <c r="DF445" s="8" t="s">
        <v>514</v>
      </c>
    </row>
    <row r="446" spans="1:110" x14ac:dyDescent="0.25">
      <c r="C446" s="60" t="str">
        <f>CONCATENATE("SOMMANO " &amp; 'Elenco Prezzi'!$C$79)</f>
        <v>SOMMANO Cad. Uno</v>
      </c>
      <c r="D446" s="70"/>
      <c r="E446" s="70"/>
      <c r="F446" s="70"/>
      <c r="G446" s="70"/>
      <c r="H446" s="69">
        <f>SUM($H$445:$H$445)</f>
        <v>5</v>
      </c>
      <c r="I446" s="65"/>
      <c r="J446" s="65"/>
      <c r="DF446" s="8" t="s">
        <v>514</v>
      </c>
    </row>
    <row r="447" spans="1:110" ht="31.5" x14ac:dyDescent="0.25">
      <c r="A447" s="3">
        <v>53</v>
      </c>
      <c r="B447" s="56" t="str">
        <f>('Elenco Prezzi'!$A$82)</f>
        <v>650.003</v>
      </c>
      <c r="C447" s="23" t="str">
        <f>('Elenco Prezzi'!$B$82)</f>
        <v>Fianco laterale incluso nella postazione desk per cassa al pubblico</v>
      </c>
      <c r="D447" s="70"/>
      <c r="E447" s="70"/>
      <c r="F447" s="70"/>
      <c r="G447" s="70"/>
      <c r="H447" s="69"/>
      <c r="I447" s="65"/>
      <c r="J447" s="65"/>
      <c r="K447" s="58" t="s">
        <v>231</v>
      </c>
      <c r="L447" s="58" t="s">
        <v>232</v>
      </c>
      <c r="M447" s="58" t="s">
        <v>232</v>
      </c>
      <c r="N447" s="58" t="s">
        <v>234</v>
      </c>
      <c r="DF447" s="8" t="s">
        <v>514</v>
      </c>
    </row>
    <row r="448" spans="1:110" ht="31.5" hidden="1" outlineLevel="1" x14ac:dyDescent="0.25">
      <c r="C448" s="57" t="str">
        <f>('Elenco Prezzi'!$B$83)</f>
        <v>Fianco laterale incluso nella postazione desk per cassa al pubblico</v>
      </c>
      <c r="D448" s="70"/>
      <c r="E448" s="70"/>
      <c r="F448" s="70"/>
      <c r="G448" s="70"/>
      <c r="H448" s="69"/>
      <c r="I448" s="65"/>
      <c r="J448" s="65"/>
      <c r="DF448" s="8" t="s">
        <v>514</v>
      </c>
    </row>
    <row r="449" spans="1:110" ht="31.5" hidden="1" outlineLevel="1" x14ac:dyDescent="0.25">
      <c r="C449" s="57" t="str">
        <f>('Elenco Prezzi'!$B$84)</f>
        <v>Fianco laterale incluso nella postazione desk per cassa al pubblico</v>
      </c>
      <c r="D449" s="70"/>
      <c r="E449" s="70"/>
      <c r="F449" s="70"/>
      <c r="G449" s="70"/>
      <c r="H449" s="69"/>
      <c r="I449" s="65"/>
      <c r="J449" s="65"/>
      <c r="DF449" s="8" t="s">
        <v>514</v>
      </c>
    </row>
    <row r="450" spans="1:110" outlineLevel="1" x14ac:dyDescent="0.25">
      <c r="C450" s="59" t="s">
        <v>235</v>
      </c>
      <c r="D450" s="70"/>
      <c r="E450" s="70"/>
      <c r="F450" s="70"/>
      <c r="G450" s="70"/>
      <c r="H450" s="69"/>
      <c r="I450" s="65"/>
      <c r="J450" s="65"/>
      <c r="DF450" s="8" t="s">
        <v>514</v>
      </c>
    </row>
    <row r="451" spans="1:110" ht="31.5" outlineLevel="1" x14ac:dyDescent="0.25">
      <c r="C451" s="5" t="s">
        <v>341</v>
      </c>
      <c r="D451" s="70">
        <v>6</v>
      </c>
      <c r="E451" s="70"/>
      <c r="F451" s="70"/>
      <c r="G451" s="70"/>
      <c r="H451" s="69">
        <f>PRODUCT($CV$451,$CW$451,$CX$451,$CY$451)</f>
        <v>6</v>
      </c>
      <c r="I451" s="65"/>
      <c r="J451" s="65"/>
      <c r="CV451" s="8">
        <f>(6)</f>
        <v>6</v>
      </c>
      <c r="DF451" s="8" t="s">
        <v>514</v>
      </c>
    </row>
    <row r="452" spans="1:110" x14ac:dyDescent="0.25">
      <c r="C452" s="60" t="str">
        <f>CONCATENATE("SOMMANO " &amp; 'Elenco Prezzi'!$C$82)</f>
        <v>SOMMANO Cad. Uno</v>
      </c>
      <c r="D452" s="70"/>
      <c r="E452" s="70"/>
      <c r="F452" s="70"/>
      <c r="G452" s="70"/>
      <c r="H452" s="69">
        <f>SUM($H$451:$H$451)</f>
        <v>6</v>
      </c>
      <c r="I452" s="65"/>
      <c r="J452" s="65"/>
      <c r="DF452" s="8" t="s">
        <v>514</v>
      </c>
    </row>
    <row r="453" spans="1:110" ht="31.5" x14ac:dyDescent="0.25">
      <c r="A453" s="3">
        <v>54</v>
      </c>
      <c r="B453" s="56" t="str">
        <f>('Elenco Prezzi'!$A$85)</f>
        <v>650.004</v>
      </c>
      <c r="C453" s="23" t="str">
        <f>('Elenco Prezzi'!$B$85)</f>
        <v>Armadio per ufficio tipo 1</v>
      </c>
      <c r="D453" s="70"/>
      <c r="E453" s="70"/>
      <c r="F453" s="70"/>
      <c r="G453" s="70"/>
      <c r="H453" s="69"/>
      <c r="I453" s="65"/>
      <c r="J453" s="65"/>
      <c r="K453" s="58" t="s">
        <v>231</v>
      </c>
      <c r="L453" s="58" t="s">
        <v>232</v>
      </c>
      <c r="M453" s="58" t="s">
        <v>232</v>
      </c>
      <c r="N453" s="58" t="s">
        <v>234</v>
      </c>
      <c r="DF453" s="8" t="s">
        <v>514</v>
      </c>
    </row>
    <row r="454" spans="1:110" hidden="1" outlineLevel="1" x14ac:dyDescent="0.25">
      <c r="C454" s="57" t="str">
        <f>('Elenco Prezzi'!$B$86)</f>
        <v>Armadio per ufficio tipo 1</v>
      </c>
      <c r="D454" s="70"/>
      <c r="E454" s="70"/>
      <c r="F454" s="70"/>
      <c r="G454" s="70"/>
      <c r="H454" s="69"/>
      <c r="I454" s="65"/>
      <c r="J454" s="65"/>
      <c r="DF454" s="8" t="s">
        <v>514</v>
      </c>
    </row>
    <row r="455" spans="1:110" hidden="1" outlineLevel="1" x14ac:dyDescent="0.25">
      <c r="C455" s="57" t="str">
        <f>('Elenco Prezzi'!$B$87)</f>
        <v>Armadio per ufficio tipo 1</v>
      </c>
      <c r="D455" s="70"/>
      <c r="E455" s="70"/>
      <c r="F455" s="70"/>
      <c r="G455" s="70"/>
      <c r="H455" s="69"/>
      <c r="I455" s="65"/>
      <c r="J455" s="65"/>
      <c r="DF455" s="8" t="s">
        <v>514</v>
      </c>
    </row>
    <row r="456" spans="1:110" outlineLevel="1" x14ac:dyDescent="0.25">
      <c r="C456" s="59" t="s">
        <v>235</v>
      </c>
      <c r="D456" s="70"/>
      <c r="E456" s="70"/>
      <c r="F456" s="70"/>
      <c r="G456" s="70"/>
      <c r="H456" s="69"/>
      <c r="I456" s="65"/>
      <c r="J456" s="65"/>
      <c r="DF456" s="8" t="s">
        <v>514</v>
      </c>
    </row>
    <row r="457" spans="1:110" ht="31.5" outlineLevel="1" x14ac:dyDescent="0.25">
      <c r="C457" s="5" t="s">
        <v>342</v>
      </c>
      <c r="D457" s="70">
        <v>3</v>
      </c>
      <c r="E457" s="70"/>
      <c r="F457" s="70"/>
      <c r="G457" s="70"/>
      <c r="H457" s="69">
        <f>PRODUCT($CV$457,$CW$457,$CX$457,$CY$457)</f>
        <v>3</v>
      </c>
      <c r="I457" s="65"/>
      <c r="J457" s="65"/>
      <c r="CV457" s="8">
        <f>(3)</f>
        <v>3</v>
      </c>
      <c r="DF457" s="8" t="s">
        <v>514</v>
      </c>
    </row>
    <row r="458" spans="1:110" x14ac:dyDescent="0.25">
      <c r="C458" s="60" t="str">
        <f>CONCATENATE("SOMMANO " &amp; 'Elenco Prezzi'!$C$85)</f>
        <v>SOMMANO Cad. Uno</v>
      </c>
      <c r="D458" s="70"/>
      <c r="E458" s="70"/>
      <c r="F458" s="70"/>
      <c r="G458" s="70"/>
      <c r="H458" s="69">
        <f>SUM($H$457:$H$457)</f>
        <v>3</v>
      </c>
      <c r="I458" s="65">
        <f>('Elenco Prezzi'!$D$85)</f>
        <v>173</v>
      </c>
      <c r="J458" s="65">
        <f>PRODUCT($H$458,$I$458)</f>
        <v>519</v>
      </c>
      <c r="DF458" s="8" t="s">
        <v>514</v>
      </c>
    </row>
    <row r="459" spans="1:110" ht="31.5" x14ac:dyDescent="0.25">
      <c r="A459" s="3">
        <v>55</v>
      </c>
      <c r="B459" s="56" t="str">
        <f>('Elenco Prezzi'!$A$88)</f>
        <v>650.005</v>
      </c>
      <c r="C459" s="23" t="str">
        <f>('Elenco Prezzi'!$B$88)</f>
        <v>Mobiletto con 3 scaffali</v>
      </c>
      <c r="D459" s="70"/>
      <c r="E459" s="70"/>
      <c r="F459" s="70"/>
      <c r="G459" s="70"/>
      <c r="H459" s="69"/>
      <c r="I459" s="65"/>
      <c r="J459" s="65"/>
      <c r="K459" s="58" t="s">
        <v>231</v>
      </c>
      <c r="L459" s="58" t="s">
        <v>232</v>
      </c>
      <c r="M459" s="58" t="s">
        <v>232</v>
      </c>
      <c r="N459" s="58" t="s">
        <v>234</v>
      </c>
      <c r="DF459" s="8" t="s">
        <v>514</v>
      </c>
    </row>
    <row r="460" spans="1:110" hidden="1" outlineLevel="1" x14ac:dyDescent="0.25">
      <c r="C460" s="57" t="str">
        <f>('Elenco Prezzi'!$B$89)</f>
        <v>Mobiletto con 3 scaffali</v>
      </c>
      <c r="D460" s="70"/>
      <c r="E460" s="70"/>
      <c r="F460" s="70"/>
      <c r="G460" s="70"/>
      <c r="H460" s="69"/>
      <c r="I460" s="65"/>
      <c r="J460" s="65"/>
      <c r="DF460" s="8" t="s">
        <v>514</v>
      </c>
    </row>
    <row r="461" spans="1:110" hidden="1" outlineLevel="1" x14ac:dyDescent="0.25">
      <c r="C461" s="57" t="str">
        <f>('Elenco Prezzi'!$B$90)</f>
        <v>Mobiletto con 3 scaffali</v>
      </c>
      <c r="D461" s="70"/>
      <c r="E461" s="70"/>
      <c r="F461" s="70"/>
      <c r="G461" s="70"/>
      <c r="H461" s="69"/>
      <c r="I461" s="65"/>
      <c r="J461" s="65"/>
      <c r="DF461" s="8" t="s">
        <v>514</v>
      </c>
    </row>
    <row r="462" spans="1:110" outlineLevel="1" x14ac:dyDescent="0.25">
      <c r="C462" s="59" t="s">
        <v>235</v>
      </c>
      <c r="D462" s="70"/>
      <c r="E462" s="70"/>
      <c r="F462" s="70"/>
      <c r="G462" s="70"/>
      <c r="H462" s="69"/>
      <c r="I462" s="65"/>
      <c r="J462" s="65"/>
      <c r="DF462" s="8" t="s">
        <v>514</v>
      </c>
    </row>
    <row r="463" spans="1:110" ht="31.5" outlineLevel="1" x14ac:dyDescent="0.25">
      <c r="C463" s="5" t="s">
        <v>343</v>
      </c>
      <c r="D463" s="70">
        <v>4</v>
      </c>
      <c r="E463" s="70"/>
      <c r="F463" s="70"/>
      <c r="G463" s="70"/>
      <c r="H463" s="69">
        <f>PRODUCT($CV$463,$CW$463,$CX$463,$CY$463)</f>
        <v>4</v>
      </c>
      <c r="I463" s="65"/>
      <c r="J463" s="65"/>
      <c r="CV463" s="8">
        <f>(4)</f>
        <v>4</v>
      </c>
      <c r="DF463" s="8" t="s">
        <v>514</v>
      </c>
    </row>
    <row r="464" spans="1:110" x14ac:dyDescent="0.25">
      <c r="C464" s="60" t="str">
        <f>CONCATENATE("SOMMANO " &amp; 'Elenco Prezzi'!$C$88)</f>
        <v>SOMMANO Cad. Uno</v>
      </c>
      <c r="D464" s="70"/>
      <c r="E464" s="70"/>
      <c r="F464" s="70"/>
      <c r="G464" s="70"/>
      <c r="H464" s="69">
        <f>SUM($H$463:$H$463)</f>
        <v>4</v>
      </c>
      <c r="I464" s="65">
        <f>('Elenco Prezzi'!$D$88)</f>
        <v>173</v>
      </c>
      <c r="J464" s="65">
        <f>PRODUCT($H$464,$I$464)</f>
        <v>692</v>
      </c>
      <c r="DF464" s="8" t="s">
        <v>514</v>
      </c>
    </row>
    <row r="465" spans="1:110" ht="31.5" x14ac:dyDescent="0.25">
      <c r="A465" s="3">
        <v>56</v>
      </c>
      <c r="B465" s="56" t="str">
        <f>('Elenco Prezzi'!$A$91)</f>
        <v>650.006</v>
      </c>
      <c r="C465" s="23" t="str">
        <f>('Elenco Prezzi'!$B$91)</f>
        <v>Armadio per ufficio tipo 2</v>
      </c>
      <c r="D465" s="70"/>
      <c r="E465" s="70"/>
      <c r="F465" s="70"/>
      <c r="G465" s="70"/>
      <c r="H465" s="69"/>
      <c r="I465" s="65"/>
      <c r="J465" s="65"/>
      <c r="K465" s="58" t="s">
        <v>231</v>
      </c>
      <c r="L465" s="58" t="s">
        <v>232</v>
      </c>
      <c r="M465" s="58" t="s">
        <v>232</v>
      </c>
      <c r="N465" s="58" t="s">
        <v>234</v>
      </c>
      <c r="DF465" s="8" t="s">
        <v>514</v>
      </c>
    </row>
    <row r="466" spans="1:110" hidden="1" outlineLevel="1" x14ac:dyDescent="0.25">
      <c r="C466" s="57" t="str">
        <f>('Elenco Prezzi'!$B$92)</f>
        <v>Armadio per ufficio tipo 2</v>
      </c>
      <c r="D466" s="70"/>
      <c r="E466" s="70"/>
      <c r="F466" s="70"/>
      <c r="G466" s="70"/>
      <c r="H466" s="69"/>
      <c r="I466" s="65"/>
      <c r="J466" s="65"/>
      <c r="DF466" s="8" t="s">
        <v>514</v>
      </c>
    </row>
    <row r="467" spans="1:110" hidden="1" outlineLevel="1" x14ac:dyDescent="0.25">
      <c r="C467" s="57" t="str">
        <f>('Elenco Prezzi'!$B$93)</f>
        <v>Armadio per ufficio tipo 2</v>
      </c>
      <c r="D467" s="70"/>
      <c r="E467" s="70"/>
      <c r="F467" s="70"/>
      <c r="G467" s="70"/>
      <c r="H467" s="69"/>
      <c r="I467" s="65"/>
      <c r="J467" s="65"/>
      <c r="DF467" s="8" t="s">
        <v>514</v>
      </c>
    </row>
    <row r="468" spans="1:110" outlineLevel="1" x14ac:dyDescent="0.25">
      <c r="C468" s="59" t="s">
        <v>235</v>
      </c>
      <c r="D468" s="70"/>
      <c r="E468" s="70"/>
      <c r="F468" s="70"/>
      <c r="G468" s="70"/>
      <c r="H468" s="69"/>
      <c r="I468" s="65"/>
      <c r="J468" s="65"/>
      <c r="DF468" s="8" t="s">
        <v>514</v>
      </c>
    </row>
    <row r="469" spans="1:110" ht="31.5" outlineLevel="1" x14ac:dyDescent="0.25">
      <c r="C469" s="5" t="s">
        <v>344</v>
      </c>
      <c r="D469" s="70">
        <v>8</v>
      </c>
      <c r="E469" s="70"/>
      <c r="F469" s="70"/>
      <c r="G469" s="70"/>
      <c r="H469" s="69">
        <f>PRODUCT($CV$469,$CW$469,$CX$469,$CY$469)</f>
        <v>8</v>
      </c>
      <c r="I469" s="65"/>
      <c r="J469" s="65"/>
      <c r="CV469" s="8">
        <f>(8)</f>
        <v>8</v>
      </c>
      <c r="DF469" s="8" t="s">
        <v>514</v>
      </c>
    </row>
    <row r="470" spans="1:110" x14ac:dyDescent="0.25">
      <c r="C470" s="60" t="str">
        <f>CONCATENATE("SOMMANO " &amp; 'Elenco Prezzi'!$C$91)</f>
        <v>SOMMANO Cad. Uno</v>
      </c>
      <c r="D470" s="70"/>
      <c r="E470" s="70"/>
      <c r="F470" s="70"/>
      <c r="G470" s="70"/>
      <c r="H470" s="69">
        <f>SUM($H$469:$H$469)</f>
        <v>8</v>
      </c>
      <c r="I470" s="65">
        <f>('Elenco Prezzi'!$D$91)</f>
        <v>212</v>
      </c>
      <c r="J470" s="65">
        <f>PRODUCT($H$470,$I$470)</f>
        <v>1696</v>
      </c>
      <c r="DF470" s="8" t="s">
        <v>514</v>
      </c>
    </row>
    <row r="471" spans="1:110" ht="31.5" x14ac:dyDescent="0.25">
      <c r="A471" s="3">
        <v>57</v>
      </c>
      <c r="B471" s="56" t="str">
        <f>('Elenco Prezzi'!$A$94)</f>
        <v>650.007</v>
      </c>
      <c r="C471" s="23" t="str">
        <f>('Elenco Prezzi'!$B$94)</f>
        <v>Armadio per ufficio tipo 3</v>
      </c>
      <c r="D471" s="70"/>
      <c r="E471" s="70"/>
      <c r="F471" s="70"/>
      <c r="G471" s="70"/>
      <c r="H471" s="69"/>
      <c r="I471" s="65"/>
      <c r="J471" s="65"/>
      <c r="K471" s="58" t="s">
        <v>231</v>
      </c>
      <c r="L471" s="58" t="s">
        <v>232</v>
      </c>
      <c r="M471" s="58" t="s">
        <v>232</v>
      </c>
      <c r="N471" s="58" t="s">
        <v>234</v>
      </c>
      <c r="DF471" s="8" t="s">
        <v>514</v>
      </c>
    </row>
    <row r="472" spans="1:110" hidden="1" outlineLevel="1" x14ac:dyDescent="0.25">
      <c r="C472" s="57" t="str">
        <f>('Elenco Prezzi'!$B$95)</f>
        <v>Armadio per ufficio tipo 3</v>
      </c>
      <c r="D472" s="70"/>
      <c r="E472" s="70"/>
      <c r="F472" s="70"/>
      <c r="G472" s="70"/>
      <c r="H472" s="69"/>
      <c r="I472" s="65"/>
      <c r="J472" s="65"/>
      <c r="DF472" s="8" t="s">
        <v>514</v>
      </c>
    </row>
    <row r="473" spans="1:110" hidden="1" outlineLevel="1" x14ac:dyDescent="0.25">
      <c r="C473" s="57" t="str">
        <f>('Elenco Prezzi'!$B$96)</f>
        <v>Armadio per ufficio tipo 3</v>
      </c>
      <c r="D473" s="70"/>
      <c r="E473" s="70"/>
      <c r="F473" s="70"/>
      <c r="G473" s="70"/>
      <c r="H473" s="69"/>
      <c r="I473" s="65"/>
      <c r="J473" s="65"/>
      <c r="DF473" s="8" t="s">
        <v>514</v>
      </c>
    </row>
    <row r="474" spans="1:110" outlineLevel="1" x14ac:dyDescent="0.25">
      <c r="C474" s="59" t="s">
        <v>235</v>
      </c>
      <c r="D474" s="70"/>
      <c r="E474" s="70"/>
      <c r="F474" s="70"/>
      <c r="G474" s="70"/>
      <c r="H474" s="69"/>
      <c r="I474" s="65"/>
      <c r="J474" s="65"/>
      <c r="DF474" s="8" t="s">
        <v>514</v>
      </c>
    </row>
    <row r="475" spans="1:110" ht="31.5" outlineLevel="1" x14ac:dyDescent="0.25">
      <c r="C475" s="5" t="s">
        <v>345</v>
      </c>
      <c r="D475" s="70">
        <v>2</v>
      </c>
      <c r="E475" s="70"/>
      <c r="F475" s="70"/>
      <c r="G475" s="70"/>
      <c r="H475" s="69">
        <f>PRODUCT($CV$475,$CW$475,$CX$475,$CY$475)</f>
        <v>2</v>
      </c>
      <c r="I475" s="65"/>
      <c r="J475" s="65"/>
      <c r="CV475" s="8">
        <f>(2)</f>
        <v>2</v>
      </c>
      <c r="DF475" s="8" t="s">
        <v>514</v>
      </c>
    </row>
    <row r="476" spans="1:110" x14ac:dyDescent="0.25">
      <c r="C476" s="60" t="str">
        <f>CONCATENATE("SOMMANO " &amp; 'Elenco Prezzi'!$C$94)</f>
        <v>SOMMANO Cad. Uno</v>
      </c>
      <c r="D476" s="70"/>
      <c r="E476" s="70"/>
      <c r="F476" s="70"/>
      <c r="G476" s="70"/>
      <c r="H476" s="69">
        <f>SUM($H$475:$H$475)</f>
        <v>2</v>
      </c>
      <c r="I476" s="65">
        <f>('Elenco Prezzi'!$D$94)</f>
        <v>150</v>
      </c>
      <c r="J476" s="65">
        <f>PRODUCT($H$476,$I$476)</f>
        <v>300</v>
      </c>
      <c r="DF476" s="8" t="s">
        <v>514</v>
      </c>
    </row>
    <row r="477" spans="1:110" ht="31.5" x14ac:dyDescent="0.25">
      <c r="A477" s="3">
        <v>58</v>
      </c>
      <c r="B477" s="56" t="str">
        <f>('Elenco Prezzi'!$A$97)</f>
        <v>651.001</v>
      </c>
      <c r="C477" s="23" t="str">
        <f>('Elenco Prezzi'!$B$97)</f>
        <v>Cassettiera mobile con ruote</v>
      </c>
      <c r="D477" s="70"/>
      <c r="E477" s="70"/>
      <c r="F477" s="70"/>
      <c r="G477" s="70"/>
      <c r="H477" s="69"/>
      <c r="I477" s="65"/>
      <c r="J477" s="65"/>
      <c r="K477" s="58" t="s">
        <v>231</v>
      </c>
      <c r="L477" s="58" t="s">
        <v>232</v>
      </c>
      <c r="M477" s="58" t="s">
        <v>232</v>
      </c>
      <c r="N477" s="58" t="s">
        <v>234</v>
      </c>
      <c r="DF477" s="8" t="s">
        <v>514</v>
      </c>
    </row>
    <row r="478" spans="1:110" hidden="1" outlineLevel="1" x14ac:dyDescent="0.25">
      <c r="C478" s="57" t="str">
        <f>('Elenco Prezzi'!$B$98)</f>
        <v>Cassettiera mobile con ruote</v>
      </c>
      <c r="D478" s="70"/>
      <c r="E478" s="70"/>
      <c r="F478" s="70"/>
      <c r="G478" s="70"/>
      <c r="H478" s="69"/>
      <c r="I478" s="65"/>
      <c r="J478" s="65"/>
      <c r="DF478" s="8" t="s">
        <v>514</v>
      </c>
    </row>
    <row r="479" spans="1:110" hidden="1" outlineLevel="1" x14ac:dyDescent="0.25">
      <c r="C479" s="57" t="str">
        <f>('Elenco Prezzi'!$B$99)</f>
        <v>Cassettiera mobile con ruote</v>
      </c>
      <c r="D479" s="70"/>
      <c r="E479" s="70"/>
      <c r="F479" s="70"/>
      <c r="G479" s="70"/>
      <c r="H479" s="69"/>
      <c r="I479" s="65"/>
      <c r="J479" s="65"/>
      <c r="DF479" s="8" t="s">
        <v>514</v>
      </c>
    </row>
    <row r="480" spans="1:110" outlineLevel="1" x14ac:dyDescent="0.25">
      <c r="C480" s="59" t="s">
        <v>235</v>
      </c>
      <c r="D480" s="70"/>
      <c r="E480" s="70"/>
      <c r="F480" s="70"/>
      <c r="G480" s="70"/>
      <c r="H480" s="69"/>
      <c r="I480" s="65"/>
      <c r="J480" s="65"/>
      <c r="DF480" s="8" t="s">
        <v>514</v>
      </c>
    </row>
    <row r="481" spans="1:110" ht="31.5" outlineLevel="1" x14ac:dyDescent="0.25">
      <c r="C481" s="5" t="s">
        <v>346</v>
      </c>
      <c r="D481" s="70">
        <v>11</v>
      </c>
      <c r="E481" s="70"/>
      <c r="F481" s="70"/>
      <c r="G481" s="70"/>
      <c r="H481" s="69">
        <f>PRODUCT($CV$481,$CW$481,$CX$481,$CY$481)</f>
        <v>11</v>
      </c>
      <c r="I481" s="65"/>
      <c r="J481" s="65"/>
      <c r="CV481" s="8">
        <f>(11)</f>
        <v>11</v>
      </c>
      <c r="DF481" s="8" t="s">
        <v>514</v>
      </c>
    </row>
    <row r="482" spans="1:110" x14ac:dyDescent="0.25">
      <c r="C482" s="60" t="str">
        <f>CONCATENATE("SOMMANO " &amp; 'Elenco Prezzi'!$C$97)</f>
        <v>SOMMANO Cad. Uno</v>
      </c>
      <c r="D482" s="70"/>
      <c r="E482" s="70"/>
      <c r="F482" s="70"/>
      <c r="G482" s="70"/>
      <c r="H482" s="69">
        <f>SUM($H$481:$H$481)</f>
        <v>11</v>
      </c>
      <c r="I482" s="65">
        <f>('Elenco Prezzi'!$D$97)</f>
        <v>95</v>
      </c>
      <c r="J482" s="65">
        <f>PRODUCT($H$482,$I$482)</f>
        <v>1045</v>
      </c>
      <c r="DF482" s="8" t="s">
        <v>514</v>
      </c>
    </row>
    <row r="483" spans="1:110" ht="31.5" x14ac:dyDescent="0.25">
      <c r="A483" s="3">
        <v>59</v>
      </c>
      <c r="B483" s="56" t="str">
        <f>('Elenco Prezzi'!$A$100)</f>
        <v>652.001</v>
      </c>
      <c r="C483" s="23" t="str">
        <f>('Elenco Prezzi'!$B$100)</f>
        <v>Tavolino basso con vetro</v>
      </c>
      <c r="D483" s="70"/>
      <c r="E483" s="70"/>
      <c r="F483" s="70"/>
      <c r="G483" s="70"/>
      <c r="H483" s="69"/>
      <c r="I483" s="65"/>
      <c r="J483" s="65"/>
      <c r="K483" s="58" t="s">
        <v>231</v>
      </c>
      <c r="L483" s="58" t="s">
        <v>232</v>
      </c>
      <c r="M483" s="58" t="s">
        <v>232</v>
      </c>
      <c r="N483" s="58" t="s">
        <v>234</v>
      </c>
      <c r="DF483" s="8" t="s">
        <v>514</v>
      </c>
    </row>
    <row r="484" spans="1:110" hidden="1" outlineLevel="1" x14ac:dyDescent="0.25">
      <c r="C484" s="57" t="str">
        <f>('Elenco Prezzi'!$B$101)</f>
        <v>Tavolino basso con vetro</v>
      </c>
      <c r="D484" s="70"/>
      <c r="E484" s="70"/>
      <c r="F484" s="70"/>
      <c r="G484" s="70"/>
      <c r="H484" s="69"/>
      <c r="I484" s="65"/>
      <c r="J484" s="65"/>
      <c r="DF484" s="8" t="s">
        <v>514</v>
      </c>
    </row>
    <row r="485" spans="1:110" hidden="1" outlineLevel="1" x14ac:dyDescent="0.25">
      <c r="C485" s="57" t="str">
        <f>('Elenco Prezzi'!$B$102)</f>
        <v>Tavolino basso con vetro</v>
      </c>
      <c r="D485" s="70"/>
      <c r="E485" s="70"/>
      <c r="F485" s="70"/>
      <c r="G485" s="70"/>
      <c r="H485" s="69"/>
      <c r="I485" s="65"/>
      <c r="J485" s="65"/>
      <c r="DF485" s="8" t="s">
        <v>514</v>
      </c>
    </row>
    <row r="486" spans="1:110" outlineLevel="1" x14ac:dyDescent="0.25">
      <c r="C486" s="59" t="s">
        <v>235</v>
      </c>
      <c r="D486" s="70"/>
      <c r="E486" s="70"/>
      <c r="F486" s="70"/>
      <c r="G486" s="70"/>
      <c r="H486" s="69"/>
      <c r="I486" s="65"/>
      <c r="J486" s="65"/>
      <c r="DF486" s="8" t="s">
        <v>514</v>
      </c>
    </row>
    <row r="487" spans="1:110" outlineLevel="1" x14ac:dyDescent="0.25">
      <c r="C487" s="5" t="s">
        <v>347</v>
      </c>
      <c r="D487" s="70">
        <v>1</v>
      </c>
      <c r="E487" s="70"/>
      <c r="F487" s="70"/>
      <c r="G487" s="70"/>
      <c r="H487" s="69">
        <f>PRODUCT($CV$487,$CW$487,$CX$487,$CY$487)</f>
        <v>1</v>
      </c>
      <c r="I487" s="65"/>
      <c r="J487" s="65"/>
      <c r="CV487" s="8">
        <f>(1)</f>
        <v>1</v>
      </c>
      <c r="DF487" s="8" t="s">
        <v>514</v>
      </c>
    </row>
    <row r="488" spans="1:110" x14ac:dyDescent="0.25">
      <c r="C488" s="60" t="str">
        <f>CONCATENATE("SOMMANO " &amp; 'Elenco Prezzi'!$C$100)</f>
        <v>SOMMANO Cad. Uno</v>
      </c>
      <c r="D488" s="70"/>
      <c r="E488" s="70"/>
      <c r="F488" s="70"/>
      <c r="G488" s="70"/>
      <c r="H488" s="69">
        <f>SUM($H$487:$H$487)</f>
        <v>1</v>
      </c>
      <c r="I488" s="65">
        <f>('Elenco Prezzi'!$D$100)</f>
        <v>68</v>
      </c>
      <c r="J488" s="65">
        <f>PRODUCT($H$488,$I$488)</f>
        <v>68</v>
      </c>
      <c r="DF488" s="8" t="s">
        <v>514</v>
      </c>
    </row>
    <row r="489" spans="1:110" ht="31.5" x14ac:dyDescent="0.25">
      <c r="A489" s="3">
        <v>60</v>
      </c>
      <c r="B489" s="56" t="str">
        <f>('Elenco Prezzi'!$A$103)</f>
        <v>660.001</v>
      </c>
      <c r="C489" s="23" t="str">
        <f>('Elenco Prezzi'!$B$103)</f>
        <v>Pavimentazione per magazzino</v>
      </c>
      <c r="D489" s="70"/>
      <c r="E489" s="70"/>
      <c r="F489" s="70"/>
      <c r="G489" s="70"/>
      <c r="H489" s="69"/>
      <c r="I489" s="65"/>
      <c r="J489" s="65"/>
      <c r="K489" s="58" t="s">
        <v>231</v>
      </c>
      <c r="L489" s="58" t="s">
        <v>232</v>
      </c>
      <c r="M489" s="58" t="s">
        <v>232</v>
      </c>
      <c r="N489" s="58" t="s">
        <v>234</v>
      </c>
      <c r="DF489" s="8" t="s">
        <v>514</v>
      </c>
    </row>
    <row r="490" spans="1:110" hidden="1" outlineLevel="1" x14ac:dyDescent="0.25">
      <c r="C490" s="57" t="str">
        <f>('Elenco Prezzi'!$B$104)</f>
        <v>Pavimentazione per magazzino</v>
      </c>
      <c r="D490" s="70"/>
      <c r="E490" s="70"/>
      <c r="F490" s="70"/>
      <c r="G490" s="70"/>
      <c r="H490" s="69"/>
      <c r="I490" s="65"/>
      <c r="J490" s="65"/>
      <c r="DF490" s="8" t="s">
        <v>514</v>
      </c>
    </row>
    <row r="491" spans="1:110" hidden="1" outlineLevel="1" x14ac:dyDescent="0.25">
      <c r="C491" s="57" t="str">
        <f>('Elenco Prezzi'!$B$105)</f>
        <v>Pavimentazione per magazzino</v>
      </c>
      <c r="D491" s="70"/>
      <c r="E491" s="70"/>
      <c r="F491" s="70"/>
      <c r="G491" s="70"/>
      <c r="H491" s="69"/>
      <c r="I491" s="65"/>
      <c r="J491" s="65"/>
      <c r="DF491" s="8" t="s">
        <v>514</v>
      </c>
    </row>
    <row r="492" spans="1:110" outlineLevel="1" x14ac:dyDescent="0.25">
      <c r="C492" s="59" t="s">
        <v>235</v>
      </c>
      <c r="D492" s="70"/>
      <c r="E492" s="70"/>
      <c r="F492" s="70"/>
      <c r="G492" s="70"/>
      <c r="H492" s="69"/>
      <c r="I492" s="65"/>
      <c r="J492" s="65"/>
      <c r="DF492" s="8" t="s">
        <v>514</v>
      </c>
    </row>
    <row r="493" spans="1:110" outlineLevel="1" x14ac:dyDescent="0.25">
      <c r="C493" s="5" t="s">
        <v>348</v>
      </c>
      <c r="D493" s="70">
        <v>12.499000000000001</v>
      </c>
      <c r="E493" s="70"/>
      <c r="F493" s="70"/>
      <c r="G493" s="70"/>
      <c r="H493" s="69">
        <f>PRODUCT($CV$493,$CW$493,$CX$493,$CY$493)</f>
        <v>12.499000000000001</v>
      </c>
      <c r="I493" s="65"/>
      <c r="J493" s="65"/>
      <c r="CV493" s="8">
        <f>(12.499)</f>
        <v>12.499000000000001</v>
      </c>
      <c r="DF493" s="8" t="s">
        <v>514</v>
      </c>
    </row>
    <row r="494" spans="1:110" outlineLevel="1" x14ac:dyDescent="0.25">
      <c r="C494" s="5" t="s">
        <v>349</v>
      </c>
      <c r="D494" s="70">
        <v>19.785</v>
      </c>
      <c r="E494" s="70"/>
      <c r="F494" s="70"/>
      <c r="G494" s="70"/>
      <c r="H494" s="69">
        <f>PRODUCT($CV$494,$CW$494,$CX$494,$CY$494)</f>
        <v>19.785</v>
      </c>
      <c r="I494" s="65"/>
      <c r="J494" s="65"/>
      <c r="CV494" s="8">
        <f>(19.785)</f>
        <v>19.785</v>
      </c>
      <c r="DF494" s="8" t="s">
        <v>514</v>
      </c>
    </row>
    <row r="495" spans="1:110" x14ac:dyDescent="0.25">
      <c r="C495" s="60" t="str">
        <f>CONCATENATE("SOMMANO " &amp; 'Elenco Prezzi'!$C$103)</f>
        <v>SOMMANO m2</v>
      </c>
      <c r="D495" s="70"/>
      <c r="E495" s="70"/>
      <c r="F495" s="70"/>
      <c r="G495" s="70"/>
      <c r="H495" s="69">
        <f>SUM($H$493:$H$494)</f>
        <v>32.283999999999999</v>
      </c>
      <c r="I495" s="65">
        <f>('Elenco Prezzi'!$D$103)</f>
        <v>20</v>
      </c>
      <c r="J495" s="65">
        <f>PRODUCT($H$495,$I$495)</f>
        <v>645.67999999999995</v>
      </c>
      <c r="DF495" s="8" t="s">
        <v>514</v>
      </c>
    </row>
    <row r="496" spans="1:110" ht="31.5" x14ac:dyDescent="0.25">
      <c r="A496" s="3">
        <v>61</v>
      </c>
      <c r="B496" s="56" t="str">
        <f>('Elenco Prezzi'!$A$106)</f>
        <v>660.002</v>
      </c>
      <c r="C496" s="23" t="str">
        <f>('Elenco Prezzi'!$B$106)</f>
        <v>Pavimentazione per locale tecnico</v>
      </c>
      <c r="D496" s="70"/>
      <c r="E496" s="70"/>
      <c r="F496" s="70"/>
      <c r="G496" s="70"/>
      <c r="H496" s="69"/>
      <c r="I496" s="65"/>
      <c r="J496" s="65"/>
      <c r="K496" s="58" t="s">
        <v>231</v>
      </c>
      <c r="L496" s="58" t="s">
        <v>232</v>
      </c>
      <c r="M496" s="58" t="s">
        <v>232</v>
      </c>
      <c r="N496" s="58" t="s">
        <v>234</v>
      </c>
      <c r="DF496" s="8" t="s">
        <v>514</v>
      </c>
    </row>
    <row r="497" spans="1:110" hidden="1" outlineLevel="1" x14ac:dyDescent="0.25">
      <c r="C497" s="57" t="str">
        <f>('Elenco Prezzi'!$B$107)</f>
        <v>Pavimentazione per locale tecnico</v>
      </c>
      <c r="D497" s="70"/>
      <c r="E497" s="70"/>
      <c r="F497" s="70"/>
      <c r="G497" s="70"/>
      <c r="H497" s="69"/>
      <c r="I497" s="65"/>
      <c r="J497" s="65"/>
      <c r="DF497" s="8" t="s">
        <v>514</v>
      </c>
    </row>
    <row r="498" spans="1:110" hidden="1" outlineLevel="1" x14ac:dyDescent="0.25">
      <c r="C498" s="57" t="str">
        <f>('Elenco Prezzi'!$B$108)</f>
        <v>Pavimentazione per locale tecnico</v>
      </c>
      <c r="D498" s="70"/>
      <c r="E498" s="70"/>
      <c r="F498" s="70"/>
      <c r="G498" s="70"/>
      <c r="H498" s="69"/>
      <c r="I498" s="65"/>
      <c r="J498" s="65"/>
      <c r="DF498" s="8" t="s">
        <v>514</v>
      </c>
    </row>
    <row r="499" spans="1:110" outlineLevel="1" x14ac:dyDescent="0.25">
      <c r="C499" s="59" t="s">
        <v>235</v>
      </c>
      <c r="D499" s="70"/>
      <c r="E499" s="70"/>
      <c r="F499" s="70"/>
      <c r="G499" s="70"/>
      <c r="H499" s="69"/>
      <c r="I499" s="65"/>
      <c r="J499" s="65"/>
      <c r="DF499" s="8" t="s">
        <v>514</v>
      </c>
    </row>
    <row r="500" spans="1:110" outlineLevel="1" x14ac:dyDescent="0.25">
      <c r="C500" s="5" t="s">
        <v>350</v>
      </c>
      <c r="D500" s="70">
        <v>3.0150000000000001</v>
      </c>
      <c r="E500" s="70"/>
      <c r="F500" s="70"/>
      <c r="G500" s="70"/>
      <c r="H500" s="69">
        <f>PRODUCT($CV$500,$CW$500,$CX$500,$CY$500)</f>
        <v>3.0150000000000001</v>
      </c>
      <c r="I500" s="65"/>
      <c r="J500" s="65"/>
      <c r="CV500" s="8">
        <f>(3.015)</f>
        <v>3.0150000000000001</v>
      </c>
      <c r="DF500" s="8" t="s">
        <v>514</v>
      </c>
    </row>
    <row r="501" spans="1:110" outlineLevel="1" x14ac:dyDescent="0.25">
      <c r="C501" s="5" t="s">
        <v>351</v>
      </c>
      <c r="D501" s="70">
        <v>5.7290000000000001</v>
      </c>
      <c r="E501" s="70"/>
      <c r="F501" s="70"/>
      <c r="G501" s="70"/>
      <c r="H501" s="69">
        <f>PRODUCT($CV$501,$CW$501,$CX$501,$CY$501)</f>
        <v>5.7290000000000001</v>
      </c>
      <c r="I501" s="65"/>
      <c r="J501" s="65"/>
      <c r="CV501" s="8">
        <f>(5.729)</f>
        <v>5.7290000000000001</v>
      </c>
      <c r="DF501" s="8" t="s">
        <v>514</v>
      </c>
    </row>
    <row r="502" spans="1:110" x14ac:dyDescent="0.25">
      <c r="C502" s="60" t="str">
        <f>CONCATENATE("SOMMANO " &amp; 'Elenco Prezzi'!$C$106)</f>
        <v>SOMMANO m2</v>
      </c>
      <c r="D502" s="70"/>
      <c r="E502" s="70"/>
      <c r="F502" s="70"/>
      <c r="G502" s="70"/>
      <c r="H502" s="69">
        <f>SUM($H$500:$H$501)</f>
        <v>8.7439999999999998</v>
      </c>
      <c r="I502" s="65">
        <f>('Elenco Prezzi'!$D$106)</f>
        <v>22</v>
      </c>
      <c r="J502" s="65">
        <f>PRODUCT($H$502,$I$502)</f>
        <v>192.36799999999999</v>
      </c>
      <c r="DF502" s="8" t="s">
        <v>514</v>
      </c>
    </row>
    <row r="503" spans="1:110" ht="31.5" x14ac:dyDescent="0.25">
      <c r="A503" s="3">
        <v>62</v>
      </c>
      <c r="B503" s="56" t="str">
        <f>('Elenco Prezzi'!$A$109)</f>
        <v>660.003</v>
      </c>
      <c r="C503" s="23" t="str">
        <f>('Elenco Prezzi'!$B$109)</f>
        <v>Pavimentazione per servizi tecnici</v>
      </c>
      <c r="D503" s="70"/>
      <c r="E503" s="70"/>
      <c r="F503" s="70"/>
      <c r="G503" s="70"/>
      <c r="H503" s="69"/>
      <c r="I503" s="65"/>
      <c r="J503" s="65"/>
      <c r="K503" s="58" t="s">
        <v>231</v>
      </c>
      <c r="L503" s="58" t="s">
        <v>232</v>
      </c>
      <c r="M503" s="58" t="s">
        <v>232</v>
      </c>
      <c r="N503" s="58" t="s">
        <v>234</v>
      </c>
      <c r="DF503" s="8" t="s">
        <v>514</v>
      </c>
    </row>
    <row r="504" spans="1:110" hidden="1" outlineLevel="1" x14ac:dyDescent="0.25">
      <c r="C504" s="57" t="str">
        <f>('Elenco Prezzi'!$B$110)</f>
        <v>Pavimentazione per servizi tecnici</v>
      </c>
      <c r="D504" s="70"/>
      <c r="E504" s="70"/>
      <c r="F504" s="70"/>
      <c r="G504" s="70"/>
      <c r="H504" s="69"/>
      <c r="I504" s="65"/>
      <c r="J504" s="65"/>
      <c r="DF504" s="8" t="s">
        <v>514</v>
      </c>
    </row>
    <row r="505" spans="1:110" hidden="1" outlineLevel="1" x14ac:dyDescent="0.25">
      <c r="C505" s="57" t="str">
        <f>('Elenco Prezzi'!$B$111)</f>
        <v>Pavimentazione per servizi tecnici</v>
      </c>
      <c r="D505" s="70"/>
      <c r="E505" s="70"/>
      <c r="F505" s="70"/>
      <c r="G505" s="70"/>
      <c r="H505" s="69"/>
      <c r="I505" s="65"/>
      <c r="J505" s="65"/>
      <c r="DF505" s="8" t="s">
        <v>514</v>
      </c>
    </row>
    <row r="506" spans="1:110" outlineLevel="1" x14ac:dyDescent="0.25">
      <c r="C506" s="59" t="s">
        <v>235</v>
      </c>
      <c r="D506" s="70"/>
      <c r="E506" s="70"/>
      <c r="F506" s="70"/>
      <c r="G506" s="70"/>
      <c r="H506" s="69"/>
      <c r="I506" s="65"/>
      <c r="J506" s="65"/>
      <c r="DF506" s="8" t="s">
        <v>514</v>
      </c>
    </row>
    <row r="507" spans="1:110" outlineLevel="1" x14ac:dyDescent="0.25">
      <c r="C507" s="5" t="s">
        <v>352</v>
      </c>
      <c r="D507" s="70">
        <v>11.66</v>
      </c>
      <c r="E507" s="70"/>
      <c r="F507" s="70"/>
      <c r="G507" s="70"/>
      <c r="H507" s="69">
        <f>PRODUCT($CV$507,$CW$507,$CX$507,$CY$507)</f>
        <v>11.66</v>
      </c>
      <c r="I507" s="65"/>
      <c r="J507" s="65"/>
      <c r="CV507" s="8">
        <f>(11.66)</f>
        <v>11.66</v>
      </c>
      <c r="DF507" s="8" t="s">
        <v>514</v>
      </c>
    </row>
    <row r="508" spans="1:110" outlineLevel="1" x14ac:dyDescent="0.25">
      <c r="C508" s="5" t="s">
        <v>353</v>
      </c>
      <c r="D508" s="70">
        <v>11.755000000000001</v>
      </c>
      <c r="E508" s="70"/>
      <c r="F508" s="70"/>
      <c r="G508" s="70"/>
      <c r="H508" s="69">
        <f>PRODUCT($CV$508,$CW$508,$CX$508,$CY$508)</f>
        <v>11.755000000000001</v>
      </c>
      <c r="I508" s="65"/>
      <c r="J508" s="65"/>
      <c r="CV508" s="8">
        <f>(11.755)</f>
        <v>11.755000000000001</v>
      </c>
      <c r="DF508" s="8" t="s">
        <v>514</v>
      </c>
    </row>
    <row r="509" spans="1:110" x14ac:dyDescent="0.25">
      <c r="C509" s="60" t="str">
        <f>CONCATENATE("SOMMANO " &amp; 'Elenco Prezzi'!$C$109)</f>
        <v>SOMMANO m2</v>
      </c>
      <c r="D509" s="70"/>
      <c r="E509" s="70"/>
      <c r="F509" s="70"/>
      <c r="G509" s="70"/>
      <c r="H509" s="69">
        <f>SUM($H$507:$H$508)</f>
        <v>23.414999999999999</v>
      </c>
      <c r="I509" s="65">
        <f>('Elenco Prezzi'!$D$109)</f>
        <v>68</v>
      </c>
      <c r="J509" s="65">
        <f>PRODUCT($H$509,$I$509)</f>
        <v>1592.22</v>
      </c>
      <c r="DF509" s="8" t="s">
        <v>514</v>
      </c>
    </row>
    <row r="510" spans="1:110" ht="31.5" x14ac:dyDescent="0.25">
      <c r="A510" s="3">
        <v>63</v>
      </c>
      <c r="B510" s="56" t="str">
        <f>('Elenco Prezzi'!$A$112)</f>
        <v>660.004</v>
      </c>
      <c r="C510" s="23" t="str">
        <f>('Elenco Prezzi'!$B$112)</f>
        <v>Pavimentazione per uffici</v>
      </c>
      <c r="D510" s="70"/>
      <c r="E510" s="70"/>
      <c r="F510" s="70"/>
      <c r="G510" s="70"/>
      <c r="H510" s="69"/>
      <c r="I510" s="65"/>
      <c r="J510" s="65"/>
      <c r="K510" s="58" t="s">
        <v>231</v>
      </c>
      <c r="L510" s="58" t="s">
        <v>232</v>
      </c>
      <c r="M510" s="58" t="s">
        <v>232</v>
      </c>
      <c r="N510" s="58" t="s">
        <v>234</v>
      </c>
      <c r="DF510" s="8" t="s">
        <v>514</v>
      </c>
    </row>
    <row r="511" spans="1:110" hidden="1" outlineLevel="1" x14ac:dyDescent="0.25">
      <c r="C511" s="57" t="str">
        <f>('Elenco Prezzi'!$B$113)</f>
        <v>Pavimentazione per uffici</v>
      </c>
      <c r="D511" s="70"/>
      <c r="E511" s="70"/>
      <c r="F511" s="70"/>
      <c r="G511" s="70"/>
      <c r="H511" s="69"/>
      <c r="I511" s="65"/>
      <c r="J511" s="65"/>
      <c r="DF511" s="8" t="s">
        <v>514</v>
      </c>
    </row>
    <row r="512" spans="1:110" hidden="1" outlineLevel="1" x14ac:dyDescent="0.25">
      <c r="C512" s="57" t="str">
        <f>('Elenco Prezzi'!$B$114)</f>
        <v>Pavimentazione per uffici</v>
      </c>
      <c r="D512" s="70"/>
      <c r="E512" s="70"/>
      <c r="F512" s="70"/>
      <c r="G512" s="70"/>
      <c r="H512" s="69"/>
      <c r="I512" s="65"/>
      <c r="J512" s="65"/>
      <c r="DF512" s="8" t="s">
        <v>514</v>
      </c>
    </row>
    <row r="513" spans="1:110" outlineLevel="1" x14ac:dyDescent="0.25">
      <c r="C513" s="59" t="s">
        <v>235</v>
      </c>
      <c r="D513" s="70"/>
      <c r="E513" s="70"/>
      <c r="F513" s="70"/>
      <c r="G513" s="70"/>
      <c r="H513" s="69"/>
      <c r="I513" s="65"/>
      <c r="J513" s="65"/>
      <c r="DF513" s="8" t="s">
        <v>514</v>
      </c>
    </row>
    <row r="514" spans="1:110" outlineLevel="1" x14ac:dyDescent="0.25">
      <c r="C514" s="5" t="s">
        <v>354</v>
      </c>
      <c r="D514" s="70">
        <v>12.952</v>
      </c>
      <c r="E514" s="70"/>
      <c r="F514" s="70"/>
      <c r="G514" s="70"/>
      <c r="H514" s="69">
        <f>PRODUCT($CV$514,$CW$514,$CX$514,$CY$514)</f>
        <v>12.952</v>
      </c>
      <c r="I514" s="65"/>
      <c r="J514" s="65"/>
      <c r="CV514" s="8">
        <f>(12.952)</f>
        <v>12.952</v>
      </c>
      <c r="DF514" s="8" t="s">
        <v>514</v>
      </c>
    </row>
    <row r="515" spans="1:110" outlineLevel="1" x14ac:dyDescent="0.25">
      <c r="C515" s="5" t="s">
        <v>355</v>
      </c>
      <c r="D515" s="70">
        <v>28.039000000000001</v>
      </c>
      <c r="E515" s="70"/>
      <c r="F515" s="70"/>
      <c r="G515" s="70"/>
      <c r="H515" s="69">
        <f>PRODUCT($CV$515,$CW$515,$CX$515,$CY$515)</f>
        <v>28.039000000000001</v>
      </c>
      <c r="I515" s="65"/>
      <c r="J515" s="65"/>
      <c r="CV515" s="8">
        <f>(28.039)</f>
        <v>28.039000000000001</v>
      </c>
      <c r="DF515" s="8" t="s">
        <v>514</v>
      </c>
    </row>
    <row r="516" spans="1:110" outlineLevel="1" x14ac:dyDescent="0.25">
      <c r="C516" s="5" t="s">
        <v>356</v>
      </c>
      <c r="D516" s="70">
        <v>13.728</v>
      </c>
      <c r="E516" s="70"/>
      <c r="F516" s="70"/>
      <c r="G516" s="70"/>
      <c r="H516" s="69">
        <f>PRODUCT($CV$516,$CW$516,$CX$516,$CY$516)</f>
        <v>13.728</v>
      </c>
      <c r="I516" s="65"/>
      <c r="J516" s="65"/>
      <c r="CV516" s="8">
        <f>(13.728)</f>
        <v>13.728</v>
      </c>
      <c r="DF516" s="8" t="s">
        <v>514</v>
      </c>
    </row>
    <row r="517" spans="1:110" outlineLevel="1" x14ac:dyDescent="0.25">
      <c r="C517" s="5" t="s">
        <v>357</v>
      </c>
      <c r="D517" s="70">
        <v>13.823</v>
      </c>
      <c r="E517" s="70"/>
      <c r="F517" s="70"/>
      <c r="G517" s="70"/>
      <c r="H517" s="69">
        <f>PRODUCT($CV$517,$CW$517,$CX$517,$CY$517)</f>
        <v>13.823</v>
      </c>
      <c r="I517" s="65"/>
      <c r="J517" s="65"/>
      <c r="CV517" s="8">
        <f>(13.823)</f>
        <v>13.823</v>
      </c>
      <c r="DF517" s="8" t="s">
        <v>514</v>
      </c>
    </row>
    <row r="518" spans="1:110" x14ac:dyDescent="0.25">
      <c r="C518" s="60" t="str">
        <f>CONCATENATE("SOMMANO " &amp; 'Elenco Prezzi'!$C$112)</f>
        <v>SOMMANO m2</v>
      </c>
      <c r="D518" s="70"/>
      <c r="E518" s="70"/>
      <c r="F518" s="70"/>
      <c r="G518" s="70"/>
      <c r="H518" s="69">
        <f>SUM($H$514:$H$517)</f>
        <v>68.542000000000002</v>
      </c>
      <c r="I518" s="65">
        <f>('Elenco Prezzi'!$D$112)</f>
        <v>108</v>
      </c>
      <c r="J518" s="65">
        <f>PRODUCT($H$518,$I$518)</f>
        <v>7402.5360000000001</v>
      </c>
      <c r="DF518" s="8" t="s">
        <v>514</v>
      </c>
    </row>
    <row r="519" spans="1:110" ht="31.5" x14ac:dyDescent="0.25">
      <c r="A519" s="3">
        <v>64</v>
      </c>
      <c r="B519" s="56" t="str">
        <f>('Elenco Prezzi'!$A$115)</f>
        <v>660.005</v>
      </c>
      <c r="C519" s="23" t="str">
        <f>('Elenco Prezzi'!$B$115)</f>
        <v>Pavimentazione per zona casseforti</v>
      </c>
      <c r="D519" s="70"/>
      <c r="E519" s="70"/>
      <c r="F519" s="70"/>
      <c r="G519" s="70"/>
      <c r="H519" s="69"/>
      <c r="I519" s="65"/>
      <c r="J519" s="65"/>
      <c r="K519" s="58" t="s">
        <v>231</v>
      </c>
      <c r="L519" s="58" t="s">
        <v>232</v>
      </c>
      <c r="M519" s="58" t="s">
        <v>232</v>
      </c>
      <c r="N519" s="58" t="s">
        <v>234</v>
      </c>
      <c r="DF519" s="8" t="s">
        <v>514</v>
      </c>
    </row>
    <row r="520" spans="1:110" hidden="1" outlineLevel="1" x14ac:dyDescent="0.25">
      <c r="C520" s="57" t="str">
        <f>('Elenco Prezzi'!$B$116)</f>
        <v>Pavimentazione per zona casseforti</v>
      </c>
      <c r="D520" s="70"/>
      <c r="E520" s="70"/>
      <c r="F520" s="70"/>
      <c r="G520" s="70"/>
      <c r="H520" s="69"/>
      <c r="I520" s="65"/>
      <c r="J520" s="65"/>
      <c r="DF520" s="8" t="s">
        <v>514</v>
      </c>
    </row>
    <row r="521" spans="1:110" hidden="1" outlineLevel="1" x14ac:dyDescent="0.25">
      <c r="C521" s="57" t="str">
        <f>('Elenco Prezzi'!$B$117)</f>
        <v>Pavimentazione per zona casseforti</v>
      </c>
      <c r="D521" s="70"/>
      <c r="E521" s="70"/>
      <c r="F521" s="70"/>
      <c r="G521" s="70"/>
      <c r="H521" s="69"/>
      <c r="I521" s="65"/>
      <c r="J521" s="65"/>
      <c r="DF521" s="8" t="s">
        <v>514</v>
      </c>
    </row>
    <row r="522" spans="1:110" outlineLevel="1" x14ac:dyDescent="0.25">
      <c r="C522" s="59" t="s">
        <v>235</v>
      </c>
      <c r="D522" s="70"/>
      <c r="E522" s="70"/>
      <c r="F522" s="70"/>
      <c r="G522" s="70"/>
      <c r="H522" s="69"/>
      <c r="I522" s="65"/>
      <c r="J522" s="65"/>
      <c r="DF522" s="8" t="s">
        <v>514</v>
      </c>
    </row>
    <row r="523" spans="1:110" outlineLevel="1" x14ac:dyDescent="0.25">
      <c r="C523" s="5" t="s">
        <v>358</v>
      </c>
      <c r="D523" s="70">
        <v>13.948</v>
      </c>
      <c r="E523" s="70"/>
      <c r="F523" s="70"/>
      <c r="G523" s="70"/>
      <c r="H523" s="69">
        <f>PRODUCT($CV$523,$CW$523,$CX$523,$CY$523)</f>
        <v>13.948</v>
      </c>
      <c r="I523" s="65"/>
      <c r="J523" s="65"/>
      <c r="CV523" s="8">
        <f>(13.948)</f>
        <v>13.948</v>
      </c>
      <c r="DF523" s="8" t="s">
        <v>514</v>
      </c>
    </row>
    <row r="524" spans="1:110" x14ac:dyDescent="0.25">
      <c r="C524" s="60" t="str">
        <f>CONCATENATE("SOMMANO " &amp; 'Elenco Prezzi'!$C$115)</f>
        <v>SOMMANO m2</v>
      </c>
      <c r="D524" s="70"/>
      <c r="E524" s="70"/>
      <c r="F524" s="70"/>
      <c r="G524" s="70"/>
      <c r="H524" s="69">
        <f>SUM($H$523:$H$523)</f>
        <v>13.948</v>
      </c>
      <c r="I524" s="65">
        <f>('Elenco Prezzi'!$D$115)</f>
        <v>45</v>
      </c>
      <c r="J524" s="65">
        <f>PRODUCT($H$524,$I$524)</f>
        <v>627.66</v>
      </c>
      <c r="DF524" s="8" t="s">
        <v>514</v>
      </c>
    </row>
    <row r="525" spans="1:110" ht="31.5" x14ac:dyDescent="0.25">
      <c r="A525" s="3">
        <v>65</v>
      </c>
      <c r="B525" s="56" t="str">
        <f>('Elenco Prezzi'!$A$118)</f>
        <v>660.006</v>
      </c>
      <c r="C525" s="23" t="str">
        <f>('Elenco Prezzi'!$B$118)</f>
        <v>Pavimentazione zona ingresso</v>
      </c>
      <c r="D525" s="70"/>
      <c r="E525" s="70"/>
      <c r="F525" s="70"/>
      <c r="G525" s="70"/>
      <c r="H525" s="69"/>
      <c r="I525" s="65"/>
      <c r="J525" s="65"/>
      <c r="K525" s="58" t="s">
        <v>231</v>
      </c>
      <c r="L525" s="58" t="s">
        <v>232</v>
      </c>
      <c r="M525" s="58" t="s">
        <v>232</v>
      </c>
      <c r="N525" s="58" t="s">
        <v>234</v>
      </c>
      <c r="DF525" s="8" t="s">
        <v>514</v>
      </c>
    </row>
    <row r="526" spans="1:110" hidden="1" outlineLevel="1" x14ac:dyDescent="0.25">
      <c r="C526" s="57" t="str">
        <f>('Elenco Prezzi'!$B$119)</f>
        <v>Pavimentazione zona ingresso</v>
      </c>
      <c r="D526" s="70"/>
      <c r="E526" s="70"/>
      <c r="F526" s="70"/>
      <c r="G526" s="70"/>
      <c r="H526" s="69"/>
      <c r="I526" s="65"/>
      <c r="J526" s="65"/>
      <c r="DF526" s="8" t="s">
        <v>514</v>
      </c>
    </row>
    <row r="527" spans="1:110" hidden="1" outlineLevel="1" x14ac:dyDescent="0.25">
      <c r="C527" s="57" t="str">
        <f>('Elenco Prezzi'!$B$120)</f>
        <v>Pavimentazione zona ingresso</v>
      </c>
      <c r="D527" s="70"/>
      <c r="E527" s="70"/>
      <c r="F527" s="70"/>
      <c r="G527" s="70"/>
      <c r="H527" s="69"/>
      <c r="I527" s="65"/>
      <c r="J527" s="65"/>
      <c r="DF527" s="8" t="s">
        <v>514</v>
      </c>
    </row>
    <row r="528" spans="1:110" outlineLevel="1" x14ac:dyDescent="0.25">
      <c r="C528" s="59" t="s">
        <v>235</v>
      </c>
      <c r="D528" s="70"/>
      <c r="E528" s="70"/>
      <c r="F528" s="70"/>
      <c r="G528" s="70"/>
      <c r="H528" s="69"/>
      <c r="I528" s="65"/>
      <c r="J528" s="65"/>
      <c r="DF528" s="8" t="s">
        <v>514</v>
      </c>
    </row>
    <row r="529" spans="1:110" outlineLevel="1" x14ac:dyDescent="0.25">
      <c r="C529" s="5" t="s">
        <v>359</v>
      </c>
      <c r="D529" s="70">
        <v>22.922999999999998</v>
      </c>
      <c r="E529" s="70"/>
      <c r="F529" s="70"/>
      <c r="G529" s="70"/>
      <c r="H529" s="69">
        <f>PRODUCT($CV$529,$CW$529,$CX$529,$CY$529)</f>
        <v>22.922999999999998</v>
      </c>
      <c r="I529" s="65"/>
      <c r="J529" s="65"/>
      <c r="CV529" s="8">
        <f>(22.923)</f>
        <v>22.922999999999998</v>
      </c>
      <c r="DF529" s="8" t="s">
        <v>514</v>
      </c>
    </row>
    <row r="530" spans="1:110" x14ac:dyDescent="0.25">
      <c r="C530" s="60" t="str">
        <f>CONCATENATE("SOMMANO " &amp; 'Elenco Prezzi'!$C$118)</f>
        <v>SOMMANO m2</v>
      </c>
      <c r="D530" s="70"/>
      <c r="E530" s="70"/>
      <c r="F530" s="70"/>
      <c r="G530" s="70"/>
      <c r="H530" s="69">
        <f>SUM($H$529:$H$529)</f>
        <v>22.922999999999998</v>
      </c>
      <c r="I530" s="65">
        <f>('Elenco Prezzi'!$D$118)</f>
        <v>96</v>
      </c>
      <c r="J530" s="65">
        <f>PRODUCT($H$530,$I$530)</f>
        <v>2200.6079999999997</v>
      </c>
      <c r="DF530" s="8" t="s">
        <v>514</v>
      </c>
    </row>
    <row r="531" spans="1:110" ht="31.5" x14ac:dyDescent="0.25">
      <c r="A531" s="3">
        <v>66</v>
      </c>
      <c r="B531" s="56" t="str">
        <f>('Elenco Prezzi'!$A$121)</f>
        <v>660.806</v>
      </c>
      <c r="C531" s="23" t="str">
        <f>('Elenco Prezzi'!$B$121)</f>
        <v>Pavimentazione zona bancomat</v>
      </c>
      <c r="D531" s="70"/>
      <c r="E531" s="70"/>
      <c r="F531" s="70"/>
      <c r="G531" s="70"/>
      <c r="H531" s="69"/>
      <c r="I531" s="65"/>
      <c r="J531" s="65"/>
      <c r="K531" s="58" t="s">
        <v>231</v>
      </c>
      <c r="L531" s="58" t="s">
        <v>232</v>
      </c>
      <c r="M531" s="58" t="s">
        <v>232</v>
      </c>
      <c r="N531" s="58" t="s">
        <v>234</v>
      </c>
      <c r="DF531" s="8" t="s">
        <v>514</v>
      </c>
    </row>
    <row r="532" spans="1:110" hidden="1" outlineLevel="1" x14ac:dyDescent="0.25">
      <c r="C532" s="57" t="str">
        <f>('Elenco Prezzi'!$B$122)</f>
        <v>Pavimentazione zona bancomat</v>
      </c>
      <c r="D532" s="70"/>
      <c r="E532" s="70"/>
      <c r="F532" s="70"/>
      <c r="G532" s="70"/>
      <c r="H532" s="69"/>
      <c r="I532" s="65"/>
      <c r="J532" s="65"/>
      <c r="DF532" s="8" t="s">
        <v>514</v>
      </c>
    </row>
    <row r="533" spans="1:110" hidden="1" outlineLevel="1" x14ac:dyDescent="0.25">
      <c r="C533" s="57" t="str">
        <f>('Elenco Prezzi'!$B$123)</f>
        <v>Pavimentazione zona bancomat</v>
      </c>
      <c r="D533" s="70"/>
      <c r="E533" s="70"/>
      <c r="F533" s="70"/>
      <c r="G533" s="70"/>
      <c r="H533" s="69"/>
      <c r="I533" s="65"/>
      <c r="J533" s="65"/>
      <c r="DF533" s="8" t="s">
        <v>514</v>
      </c>
    </row>
    <row r="534" spans="1:110" outlineLevel="1" x14ac:dyDescent="0.25">
      <c r="C534" s="59" t="s">
        <v>235</v>
      </c>
      <c r="D534" s="70"/>
      <c r="E534" s="70"/>
      <c r="F534" s="70"/>
      <c r="G534" s="70"/>
      <c r="H534" s="69"/>
      <c r="I534" s="65"/>
      <c r="J534" s="65"/>
      <c r="DF534" s="8" t="s">
        <v>514</v>
      </c>
    </row>
    <row r="535" spans="1:110" outlineLevel="1" x14ac:dyDescent="0.25">
      <c r="C535" s="5" t="s">
        <v>360</v>
      </c>
      <c r="D535" s="70">
        <v>16.821999999999999</v>
      </c>
      <c r="E535" s="70"/>
      <c r="F535" s="70"/>
      <c r="G535" s="70"/>
      <c r="H535" s="69">
        <f>PRODUCT($CV$535,$CW$535,$CX$535,$CY$535)</f>
        <v>16.821999999999999</v>
      </c>
      <c r="I535" s="65"/>
      <c r="J535" s="65"/>
      <c r="CV535" s="8">
        <f>(16.822)</f>
        <v>16.821999999999999</v>
      </c>
      <c r="DF535" s="8" t="s">
        <v>514</v>
      </c>
    </row>
    <row r="536" spans="1:110" x14ac:dyDescent="0.25">
      <c r="C536" s="60" t="str">
        <f>CONCATENATE("SOMMANO " &amp; 'Elenco Prezzi'!$C$121)</f>
        <v>SOMMANO m2</v>
      </c>
      <c r="D536" s="70"/>
      <c r="E536" s="70"/>
      <c r="F536" s="70"/>
      <c r="G536" s="70"/>
      <c r="H536" s="69">
        <f>SUM($H$535:$H$535)</f>
        <v>16.821999999999999</v>
      </c>
      <c r="I536" s="65">
        <f>('Elenco Prezzi'!$D$121)</f>
        <v>92</v>
      </c>
      <c r="J536" s="65">
        <f>PRODUCT($H$536,$I$536)</f>
        <v>1547.624</v>
      </c>
      <c r="DF536" s="8" t="s">
        <v>514</v>
      </c>
    </row>
    <row r="537" spans="1:110" ht="31.5" x14ac:dyDescent="0.25">
      <c r="A537" s="3">
        <v>67</v>
      </c>
      <c r="B537" s="56" t="str">
        <f>('Elenco Prezzi'!$A$124)</f>
        <v>660.808</v>
      </c>
      <c r="C537" s="23" t="str">
        <f>('Elenco Prezzi'!$B$124)</f>
        <v>Pavimentazione area principale</v>
      </c>
      <c r="D537" s="70"/>
      <c r="E537" s="70"/>
      <c r="F537" s="70"/>
      <c r="G537" s="70"/>
      <c r="H537" s="69"/>
      <c r="I537" s="65"/>
      <c r="J537" s="65"/>
      <c r="K537" s="58" t="s">
        <v>231</v>
      </c>
      <c r="L537" s="58" t="s">
        <v>232</v>
      </c>
      <c r="M537" s="58" t="s">
        <v>232</v>
      </c>
      <c r="N537" s="58" t="s">
        <v>234</v>
      </c>
      <c r="DF537" s="8" t="s">
        <v>514</v>
      </c>
    </row>
    <row r="538" spans="1:110" hidden="1" outlineLevel="1" x14ac:dyDescent="0.25">
      <c r="C538" s="57" t="str">
        <f>('Elenco Prezzi'!$B$125)</f>
        <v>Pavimentazione area principale</v>
      </c>
      <c r="D538" s="70"/>
      <c r="E538" s="70"/>
      <c r="F538" s="70"/>
      <c r="G538" s="70"/>
      <c r="H538" s="69"/>
      <c r="I538" s="65"/>
      <c r="J538" s="65"/>
      <c r="DF538" s="8" t="s">
        <v>514</v>
      </c>
    </row>
    <row r="539" spans="1:110" hidden="1" outlineLevel="1" x14ac:dyDescent="0.25">
      <c r="C539" s="57" t="str">
        <f>('Elenco Prezzi'!$B$126)</f>
        <v>Pavimentazione area principale</v>
      </c>
      <c r="D539" s="70"/>
      <c r="E539" s="70"/>
      <c r="F539" s="70"/>
      <c r="G539" s="70"/>
      <c r="H539" s="69"/>
      <c r="I539" s="65"/>
      <c r="J539" s="65"/>
      <c r="DF539" s="8" t="s">
        <v>514</v>
      </c>
    </row>
    <row r="540" spans="1:110" outlineLevel="1" x14ac:dyDescent="0.25">
      <c r="C540" s="59" t="s">
        <v>235</v>
      </c>
      <c r="D540" s="70"/>
      <c r="E540" s="70"/>
      <c r="F540" s="70"/>
      <c r="G540" s="70"/>
      <c r="H540" s="69"/>
      <c r="I540" s="65"/>
      <c r="J540" s="65"/>
      <c r="DF540" s="8" t="s">
        <v>514</v>
      </c>
    </row>
    <row r="541" spans="1:110" outlineLevel="1" x14ac:dyDescent="0.25">
      <c r="C541" s="5" t="s">
        <v>361</v>
      </c>
      <c r="D541" s="70">
        <v>108.703</v>
      </c>
      <c r="E541" s="70"/>
      <c r="F541" s="70"/>
      <c r="G541" s="70"/>
      <c r="H541" s="69">
        <f>PRODUCT($CV$541,$CW$541,$CX$541,$CY$541)</f>
        <v>108.703</v>
      </c>
      <c r="I541" s="65"/>
      <c r="J541" s="65"/>
      <c r="CV541" s="8">
        <f>(108.703)</f>
        <v>108.703</v>
      </c>
      <c r="DF541" s="8" t="s">
        <v>514</v>
      </c>
    </row>
    <row r="542" spans="1:110" x14ac:dyDescent="0.25">
      <c r="C542" s="60" t="str">
        <f>CONCATENATE("SOMMANO " &amp; 'Elenco Prezzi'!$C$124)</f>
        <v>SOMMANO m2</v>
      </c>
      <c r="D542" s="70"/>
      <c r="E542" s="70"/>
      <c r="F542" s="70"/>
      <c r="G542" s="70"/>
      <c r="H542" s="69">
        <f>SUM($H$541:$H$541)</f>
        <v>108.703</v>
      </c>
      <c r="I542" s="65">
        <f>('Elenco Prezzi'!$D$124)</f>
        <v>105</v>
      </c>
      <c r="J542" s="65">
        <f>PRODUCT($H$542,$I$542)</f>
        <v>11413.815000000001</v>
      </c>
      <c r="DF542" s="8" t="s">
        <v>514</v>
      </c>
    </row>
    <row r="543" spans="1:110" ht="31.5" x14ac:dyDescent="0.25">
      <c r="A543" s="3">
        <v>68</v>
      </c>
      <c r="B543" s="56" t="str">
        <f>('Elenco Prezzi'!$A$127)</f>
        <v>660.809</v>
      </c>
      <c r="C543" s="23" t="str">
        <f>('Elenco Prezzi'!$B$127)</f>
        <v>Pavimentazione disimpegni</v>
      </c>
      <c r="D543" s="70"/>
      <c r="E543" s="70"/>
      <c r="F543" s="70"/>
      <c r="G543" s="70"/>
      <c r="H543" s="69"/>
      <c r="I543" s="65"/>
      <c r="J543" s="65"/>
      <c r="K543" s="58" t="s">
        <v>231</v>
      </c>
      <c r="L543" s="58" t="s">
        <v>232</v>
      </c>
      <c r="M543" s="58" t="s">
        <v>232</v>
      </c>
      <c r="N543" s="58" t="s">
        <v>234</v>
      </c>
      <c r="DF543" s="8" t="s">
        <v>514</v>
      </c>
    </row>
    <row r="544" spans="1:110" hidden="1" outlineLevel="1" x14ac:dyDescent="0.25">
      <c r="C544" s="57" t="str">
        <f>('Elenco Prezzi'!$B$128)</f>
        <v>Pavimentazione disimpegni</v>
      </c>
      <c r="D544" s="70"/>
      <c r="E544" s="70"/>
      <c r="F544" s="70"/>
      <c r="G544" s="70"/>
      <c r="H544" s="69"/>
      <c r="I544" s="65"/>
      <c r="J544" s="65"/>
      <c r="DF544" s="8" t="s">
        <v>514</v>
      </c>
    </row>
    <row r="545" spans="1:110" hidden="1" outlineLevel="1" x14ac:dyDescent="0.25">
      <c r="C545" s="57" t="str">
        <f>('Elenco Prezzi'!$B$129)</f>
        <v>Pavimentazione disimpegni</v>
      </c>
      <c r="D545" s="70"/>
      <c r="E545" s="70"/>
      <c r="F545" s="70"/>
      <c r="G545" s="70"/>
      <c r="H545" s="69"/>
      <c r="I545" s="65"/>
      <c r="J545" s="65"/>
      <c r="DF545" s="8" t="s">
        <v>514</v>
      </c>
    </row>
    <row r="546" spans="1:110" outlineLevel="1" x14ac:dyDescent="0.25">
      <c r="C546" s="59" t="s">
        <v>235</v>
      </c>
      <c r="D546" s="70"/>
      <c r="E546" s="70"/>
      <c r="F546" s="70"/>
      <c r="G546" s="70"/>
      <c r="H546" s="69"/>
      <c r="I546" s="65"/>
      <c r="J546" s="65"/>
      <c r="DF546" s="8" t="s">
        <v>514</v>
      </c>
    </row>
    <row r="547" spans="1:110" outlineLevel="1" x14ac:dyDescent="0.25">
      <c r="C547" s="5" t="s">
        <v>362</v>
      </c>
      <c r="D547" s="70">
        <v>3.9910000000000001</v>
      </c>
      <c r="E547" s="70"/>
      <c r="F547" s="70"/>
      <c r="G547" s="70"/>
      <c r="H547" s="69">
        <f>PRODUCT($CV$547,$CW$547,$CX$547,$CY$547)</f>
        <v>3.9910000000000001</v>
      </c>
      <c r="I547" s="65"/>
      <c r="J547" s="65"/>
      <c r="CV547" s="8">
        <f>(3.991)</f>
        <v>3.9910000000000001</v>
      </c>
      <c r="DF547" s="8" t="s">
        <v>514</v>
      </c>
    </row>
    <row r="548" spans="1:110" outlineLevel="1" x14ac:dyDescent="0.25">
      <c r="C548" s="5" t="s">
        <v>363</v>
      </c>
      <c r="D548" s="70">
        <v>2.101</v>
      </c>
      <c r="E548" s="70"/>
      <c r="F548" s="70"/>
      <c r="G548" s="70"/>
      <c r="H548" s="69">
        <f>PRODUCT($CV$548,$CW$548,$CX$548,$CY$548)</f>
        <v>2.101</v>
      </c>
      <c r="I548" s="65"/>
      <c r="J548" s="65"/>
      <c r="CV548" s="8">
        <f>(2.101)</f>
        <v>2.101</v>
      </c>
      <c r="DF548" s="8" t="s">
        <v>514</v>
      </c>
    </row>
    <row r="549" spans="1:110" x14ac:dyDescent="0.25">
      <c r="C549" s="60" t="str">
        <f>CONCATENATE("SOMMANO " &amp; 'Elenco Prezzi'!$C$127)</f>
        <v>SOMMANO m2</v>
      </c>
      <c r="D549" s="70"/>
      <c r="E549" s="70"/>
      <c r="F549" s="70"/>
      <c r="G549" s="70"/>
      <c r="H549" s="69">
        <f>SUM($H$547:$H$548)</f>
        <v>6.0920000000000005</v>
      </c>
      <c r="I549" s="65">
        <f>('Elenco Prezzi'!$D$127)</f>
        <v>73</v>
      </c>
      <c r="J549" s="65">
        <f>PRODUCT($H$549,$I$549)</f>
        <v>444.71600000000007</v>
      </c>
      <c r="DF549" s="8" t="s">
        <v>514</v>
      </c>
    </row>
    <row r="550" spans="1:110" ht="31.5" x14ac:dyDescent="0.25">
      <c r="A550" s="3">
        <v>69</v>
      </c>
      <c r="B550" s="56" t="str">
        <f>('Elenco Prezzi'!$A$130)</f>
        <v>670.001</v>
      </c>
      <c r="C550" s="23" t="str">
        <f>('Elenco Prezzi'!$B$130)</f>
        <v>Poster pubblicitario con logo aziendale</v>
      </c>
      <c r="D550" s="70"/>
      <c r="E550" s="70"/>
      <c r="F550" s="70"/>
      <c r="G550" s="70"/>
      <c r="H550" s="69"/>
      <c r="I550" s="65"/>
      <c r="J550" s="65"/>
      <c r="K550" s="58" t="s">
        <v>364</v>
      </c>
      <c r="L550" s="58" t="s">
        <v>232</v>
      </c>
      <c r="M550" s="58" t="s">
        <v>232</v>
      </c>
      <c r="N550" s="58" t="s">
        <v>234</v>
      </c>
      <c r="DF550" s="8" t="s">
        <v>514</v>
      </c>
    </row>
    <row r="551" spans="1:110" hidden="1" outlineLevel="1" x14ac:dyDescent="0.25">
      <c r="C551" s="57" t="str">
        <f>('Elenco Prezzi'!$B$131)</f>
        <v>Poster pubblicitario con logo aziendale</v>
      </c>
      <c r="D551" s="70"/>
      <c r="E551" s="70"/>
      <c r="F551" s="70"/>
      <c r="G551" s="70"/>
      <c r="H551" s="69"/>
      <c r="I551" s="65"/>
      <c r="J551" s="65"/>
      <c r="DF551" s="8" t="s">
        <v>514</v>
      </c>
    </row>
    <row r="552" spans="1:110" hidden="1" outlineLevel="1" x14ac:dyDescent="0.25">
      <c r="C552" s="57" t="str">
        <f>('Elenco Prezzi'!$B$132)</f>
        <v>Poster pubblicitario con logo aziendale</v>
      </c>
      <c r="D552" s="70"/>
      <c r="E552" s="70"/>
      <c r="F552" s="70"/>
      <c r="G552" s="70"/>
      <c r="H552" s="69"/>
      <c r="I552" s="65"/>
      <c r="J552" s="65"/>
      <c r="DF552" s="8" t="s">
        <v>514</v>
      </c>
    </row>
    <row r="553" spans="1:110" outlineLevel="1" x14ac:dyDescent="0.25">
      <c r="C553" s="59" t="s">
        <v>235</v>
      </c>
      <c r="D553" s="70"/>
      <c r="E553" s="70"/>
      <c r="F553" s="70"/>
      <c r="G553" s="70"/>
      <c r="H553" s="69"/>
      <c r="I553" s="65"/>
      <c r="J553" s="65"/>
      <c r="DF553" s="8" t="s">
        <v>514</v>
      </c>
    </row>
    <row r="554" spans="1:110" outlineLevel="1" x14ac:dyDescent="0.25">
      <c r="C554" s="5" t="s">
        <v>365</v>
      </c>
      <c r="D554" s="70">
        <v>9</v>
      </c>
      <c r="E554" s="70"/>
      <c r="F554" s="70"/>
      <c r="G554" s="70"/>
      <c r="H554" s="69">
        <f>PRODUCT($CV$554,$CW$554,$CX$554,$CY$554)</f>
        <v>9</v>
      </c>
      <c r="I554" s="65"/>
      <c r="J554" s="65"/>
      <c r="CV554" s="8">
        <f>(9)</f>
        <v>9</v>
      </c>
      <c r="DF554" s="8" t="s">
        <v>514</v>
      </c>
    </row>
    <row r="555" spans="1:110" x14ac:dyDescent="0.25">
      <c r="C555" s="60" t="str">
        <f>CONCATENATE("SOMMANO " &amp; 'Elenco Prezzi'!$C$130)</f>
        <v>SOMMANO Cad. Uno</v>
      </c>
      <c r="D555" s="70"/>
      <c r="E555" s="70"/>
      <c r="F555" s="70"/>
      <c r="G555" s="70"/>
      <c r="H555" s="69">
        <f>SUM($H$554:$H$554)</f>
        <v>9</v>
      </c>
      <c r="I555" s="65">
        <f>('Elenco Prezzi'!$D$130)</f>
        <v>40</v>
      </c>
      <c r="J555" s="65">
        <f>PRODUCT($H$555,$I$555)</f>
        <v>360</v>
      </c>
      <c r="DF555" s="8" t="s">
        <v>514</v>
      </c>
    </row>
    <row r="556" spans="1:110" ht="31.5" x14ac:dyDescent="0.25">
      <c r="A556" s="3">
        <v>70</v>
      </c>
      <c r="B556" s="56" t="str">
        <f>('Elenco Prezzi'!$A$133)</f>
        <v>700.101</v>
      </c>
      <c r="C556" s="23" t="str">
        <f>('Elenco Prezzi'!$B$133)</f>
        <v>Porta 80 X 210 completa ed inclusa di trasporto e posa</v>
      </c>
      <c r="D556" s="70"/>
      <c r="E556" s="70"/>
      <c r="F556" s="70"/>
      <c r="G556" s="70"/>
      <c r="H556" s="69"/>
      <c r="I556" s="65"/>
      <c r="J556" s="65"/>
      <c r="K556" s="58" t="s">
        <v>231</v>
      </c>
      <c r="L556" s="58" t="s">
        <v>232</v>
      </c>
      <c r="M556" s="58" t="s">
        <v>232</v>
      </c>
      <c r="N556" s="58" t="s">
        <v>234</v>
      </c>
      <c r="DF556" s="8" t="s">
        <v>514</v>
      </c>
    </row>
    <row r="557" spans="1:110" hidden="1" outlineLevel="1" x14ac:dyDescent="0.25">
      <c r="C557" s="57" t="str">
        <f>('Elenco Prezzi'!$B$134)</f>
        <v>Porta 80 X 210 completa ed inclusa di trasporto e posa</v>
      </c>
      <c r="D557" s="70"/>
      <c r="E557" s="70"/>
      <c r="F557" s="70"/>
      <c r="G557" s="70"/>
      <c r="H557" s="69"/>
      <c r="I557" s="65"/>
      <c r="J557" s="65"/>
      <c r="DF557" s="8" t="s">
        <v>514</v>
      </c>
    </row>
    <row r="558" spans="1:110" hidden="1" outlineLevel="1" x14ac:dyDescent="0.25">
      <c r="C558" s="57" t="str">
        <f>('Elenco Prezzi'!$B$135)</f>
        <v>Porta 80 X 210 completa ed inclusa di trasporto e posa</v>
      </c>
      <c r="D558" s="70"/>
      <c r="E558" s="70"/>
      <c r="F558" s="70"/>
      <c r="G558" s="70"/>
      <c r="H558" s="69"/>
      <c r="I558" s="65"/>
      <c r="J558" s="65"/>
      <c r="DF558" s="8" t="s">
        <v>514</v>
      </c>
    </row>
    <row r="559" spans="1:110" outlineLevel="1" x14ac:dyDescent="0.25">
      <c r="C559" s="59" t="s">
        <v>235</v>
      </c>
      <c r="D559" s="70"/>
      <c r="E559" s="70"/>
      <c r="F559" s="70"/>
      <c r="G559" s="70"/>
      <c r="H559" s="69"/>
      <c r="I559" s="65"/>
      <c r="J559" s="65"/>
      <c r="DF559" s="8" t="s">
        <v>514</v>
      </c>
    </row>
    <row r="560" spans="1:110" outlineLevel="1" x14ac:dyDescent="0.25">
      <c r="C560" s="5" t="s">
        <v>366</v>
      </c>
      <c r="D560" s="70">
        <v>7</v>
      </c>
      <c r="E560" s="70"/>
      <c r="F560" s="70"/>
      <c r="G560" s="70"/>
      <c r="H560" s="69">
        <f>PRODUCT($CV$560,$CW$560,$CX$560,$CY$560)</f>
        <v>7</v>
      </c>
      <c r="I560" s="65"/>
      <c r="J560" s="65"/>
      <c r="CV560" s="8">
        <f>(7)</f>
        <v>7</v>
      </c>
      <c r="DF560" s="8" t="s">
        <v>514</v>
      </c>
    </row>
    <row r="561" spans="1:110" x14ac:dyDescent="0.25">
      <c r="C561" s="60" t="str">
        <f>CONCATENATE("SOMMANO " &amp; 'Elenco Prezzi'!$C$133)</f>
        <v>SOMMANO Cad. uno</v>
      </c>
      <c r="D561" s="70"/>
      <c r="E561" s="70"/>
      <c r="F561" s="70"/>
      <c r="G561" s="70"/>
      <c r="H561" s="69">
        <f>SUM($H$560:$H$560)</f>
        <v>7</v>
      </c>
      <c r="I561" s="65">
        <f>('Elenco Prezzi'!$D$133)</f>
        <v>165</v>
      </c>
      <c r="J561" s="65">
        <f>PRODUCT($H$561,$I$561)</f>
        <v>1155</v>
      </c>
      <c r="DF561" s="8" t="s">
        <v>514</v>
      </c>
    </row>
    <row r="562" spans="1:110" ht="31.5" x14ac:dyDescent="0.25">
      <c r="A562" s="3">
        <v>71</v>
      </c>
      <c r="B562" s="56" t="str">
        <f>('Elenco Prezzi'!$A$136)</f>
        <v>700.102</v>
      </c>
      <c r="C562" s="23" t="str">
        <f>('Elenco Prezzi'!$B$136)</f>
        <v>Porta 100 X 210 completa ed inclusa di trasporto e posa</v>
      </c>
      <c r="D562" s="70"/>
      <c r="E562" s="70"/>
      <c r="F562" s="70"/>
      <c r="G562" s="70"/>
      <c r="H562" s="69"/>
      <c r="I562" s="65"/>
      <c r="J562" s="65"/>
      <c r="K562" s="58" t="s">
        <v>231</v>
      </c>
      <c r="L562" s="58" t="s">
        <v>232</v>
      </c>
      <c r="M562" s="58" t="s">
        <v>232</v>
      </c>
      <c r="N562" s="58" t="s">
        <v>234</v>
      </c>
      <c r="DF562" s="8" t="s">
        <v>514</v>
      </c>
    </row>
    <row r="563" spans="1:110" hidden="1" outlineLevel="1" x14ac:dyDescent="0.25">
      <c r="C563" s="57" t="str">
        <f>('Elenco Prezzi'!$B$137)</f>
        <v>Porta 100 X 210 completa ed inclusa di trasporto e posa</v>
      </c>
      <c r="D563" s="70"/>
      <c r="E563" s="70"/>
      <c r="F563" s="70"/>
      <c r="G563" s="70"/>
      <c r="H563" s="69"/>
      <c r="I563" s="65"/>
      <c r="J563" s="65"/>
      <c r="DF563" s="8" t="s">
        <v>514</v>
      </c>
    </row>
    <row r="564" spans="1:110" hidden="1" outlineLevel="1" x14ac:dyDescent="0.25">
      <c r="C564" s="57" t="str">
        <f>('Elenco Prezzi'!$B$138)</f>
        <v>Porta 100 X 210 completa ed inclusa di trasporto e posa</v>
      </c>
      <c r="D564" s="70"/>
      <c r="E564" s="70"/>
      <c r="F564" s="70"/>
      <c r="G564" s="70"/>
      <c r="H564" s="69"/>
      <c r="I564" s="65"/>
      <c r="J564" s="65"/>
      <c r="DF564" s="8" t="s">
        <v>514</v>
      </c>
    </row>
    <row r="565" spans="1:110" outlineLevel="1" x14ac:dyDescent="0.25">
      <c r="C565" s="59" t="s">
        <v>235</v>
      </c>
      <c r="D565" s="70"/>
      <c r="E565" s="70"/>
      <c r="F565" s="70"/>
      <c r="G565" s="70"/>
      <c r="H565" s="69"/>
      <c r="I565" s="65"/>
      <c r="J565" s="65"/>
      <c r="DF565" s="8" t="s">
        <v>514</v>
      </c>
    </row>
    <row r="566" spans="1:110" outlineLevel="1" x14ac:dyDescent="0.25">
      <c r="C566" s="5" t="s">
        <v>367</v>
      </c>
      <c r="D566" s="70">
        <v>4</v>
      </c>
      <c r="E566" s="70"/>
      <c r="F566" s="70"/>
      <c r="G566" s="70"/>
      <c r="H566" s="69">
        <f>PRODUCT($CV$566,$CW$566,$CX$566,$CY$566)</f>
        <v>4</v>
      </c>
      <c r="I566" s="65"/>
      <c r="J566" s="65"/>
      <c r="CV566" s="8">
        <f>(4)</f>
        <v>4</v>
      </c>
      <c r="DF566" s="8" t="s">
        <v>514</v>
      </c>
    </row>
    <row r="567" spans="1:110" x14ac:dyDescent="0.25">
      <c r="C567" s="60" t="str">
        <f>CONCATENATE("SOMMANO " &amp; 'Elenco Prezzi'!$C$136)</f>
        <v>SOMMANO Cad. uno</v>
      </c>
      <c r="D567" s="70"/>
      <c r="E567" s="70"/>
      <c r="F567" s="70"/>
      <c r="G567" s="70"/>
      <c r="H567" s="69">
        <f>SUM($H$566:$H$566)</f>
        <v>4</v>
      </c>
      <c r="I567" s="65">
        <f>('Elenco Prezzi'!$D$136)</f>
        <v>195</v>
      </c>
      <c r="J567" s="65">
        <f>PRODUCT($H$567,$I$567)</f>
        <v>780</v>
      </c>
      <c r="DF567" s="8" t="s">
        <v>514</v>
      </c>
    </row>
    <row r="568" spans="1:110" ht="31.5" x14ac:dyDescent="0.25">
      <c r="A568" s="3">
        <v>72</v>
      </c>
      <c r="B568" s="56" t="str">
        <f>('Elenco Prezzi'!$A$139)</f>
        <v>700.103</v>
      </c>
      <c r="C568" s="23" t="str">
        <f>('Elenco Prezzi'!$B$139)</f>
        <v>Porta scorrevole completa di vetri incluso trasporto e posa</v>
      </c>
      <c r="D568" s="70"/>
      <c r="E568" s="70"/>
      <c r="F568" s="70"/>
      <c r="G568" s="70"/>
      <c r="H568" s="69"/>
      <c r="I568" s="65"/>
      <c r="J568" s="65"/>
      <c r="K568" s="58" t="s">
        <v>231</v>
      </c>
      <c r="L568" s="58" t="s">
        <v>232</v>
      </c>
      <c r="M568" s="58" t="s">
        <v>232</v>
      </c>
      <c r="N568" s="58" t="s">
        <v>234</v>
      </c>
      <c r="DF568" s="8" t="s">
        <v>514</v>
      </c>
    </row>
    <row r="569" spans="1:110" hidden="1" outlineLevel="1" x14ac:dyDescent="0.25">
      <c r="C569" s="57" t="str">
        <f>('Elenco Prezzi'!$B$140)</f>
        <v>Porta scorrevole completa di vetri incluso trasporto e posa</v>
      </c>
      <c r="D569" s="70"/>
      <c r="E569" s="70"/>
      <c r="F569" s="70"/>
      <c r="G569" s="70"/>
      <c r="H569" s="69"/>
      <c r="I569" s="65"/>
      <c r="J569" s="65"/>
      <c r="DF569" s="8" t="s">
        <v>514</v>
      </c>
    </row>
    <row r="570" spans="1:110" hidden="1" outlineLevel="1" x14ac:dyDescent="0.25">
      <c r="C570" s="57" t="str">
        <f>('Elenco Prezzi'!$B$141)</f>
        <v>Porta scorrevole completa di vetri incluso trasporto e posa</v>
      </c>
      <c r="D570" s="70"/>
      <c r="E570" s="70"/>
      <c r="F570" s="70"/>
      <c r="G570" s="70"/>
      <c r="H570" s="69"/>
      <c r="I570" s="65"/>
      <c r="J570" s="65"/>
      <c r="DF570" s="8" t="s">
        <v>514</v>
      </c>
    </row>
    <row r="571" spans="1:110" outlineLevel="1" x14ac:dyDescent="0.25">
      <c r="C571" s="59" t="s">
        <v>235</v>
      </c>
      <c r="D571" s="70"/>
      <c r="E571" s="70"/>
      <c r="F571" s="70"/>
      <c r="G571" s="70"/>
      <c r="H571" s="69"/>
      <c r="I571" s="65"/>
      <c r="J571" s="65"/>
      <c r="DF571" s="8" t="s">
        <v>514</v>
      </c>
    </row>
    <row r="572" spans="1:110" outlineLevel="1" x14ac:dyDescent="0.25">
      <c r="C572" s="5" t="s">
        <v>368</v>
      </c>
      <c r="D572" s="70">
        <v>1</v>
      </c>
      <c r="E572" s="70"/>
      <c r="F572" s="70"/>
      <c r="G572" s="70"/>
      <c r="H572" s="69">
        <f>PRODUCT($CV$572,$CW$572,$CX$572,$CY$572)</f>
        <v>1</v>
      </c>
      <c r="I572" s="65"/>
      <c r="J572" s="65"/>
      <c r="CV572" s="8">
        <f>(1)</f>
        <v>1</v>
      </c>
      <c r="DF572" s="8" t="s">
        <v>514</v>
      </c>
    </row>
    <row r="573" spans="1:110" x14ac:dyDescent="0.25">
      <c r="C573" s="60" t="str">
        <f>CONCATENATE("SOMMANO " &amp; 'Elenco Prezzi'!$C$139)</f>
        <v>SOMMANO Cad. Uno</v>
      </c>
      <c r="D573" s="70"/>
      <c r="E573" s="70"/>
      <c r="F573" s="70"/>
      <c r="G573" s="70"/>
      <c r="H573" s="69">
        <f>SUM($H$572:$H$572)</f>
        <v>1</v>
      </c>
      <c r="I573" s="65">
        <f>('Elenco Prezzi'!$D$139)</f>
        <v>195</v>
      </c>
      <c r="J573" s="65">
        <f>PRODUCT($H$573,$I$573)</f>
        <v>195</v>
      </c>
      <c r="DF573" s="8" t="s">
        <v>514</v>
      </c>
    </row>
    <row r="574" spans="1:110" ht="31.5" x14ac:dyDescent="0.25">
      <c r="A574" s="3">
        <v>73</v>
      </c>
      <c r="B574" s="56" t="str">
        <f>('Elenco Prezzi'!$A$142)</f>
        <v>700.104</v>
      </c>
      <c r="C574" s="23" t="str">
        <f>('Elenco Prezzi'!$B$142)</f>
        <v>Porta scorrevole inclusa nella facciata continua per ufficio</v>
      </c>
      <c r="D574" s="70"/>
      <c r="E574" s="70"/>
      <c r="F574" s="70"/>
      <c r="G574" s="70"/>
      <c r="H574" s="69"/>
      <c r="I574" s="65"/>
      <c r="J574" s="65"/>
      <c r="K574" s="58" t="s">
        <v>239</v>
      </c>
      <c r="L574" s="58" t="s">
        <v>232</v>
      </c>
      <c r="M574" s="58" t="s">
        <v>232</v>
      </c>
      <c r="N574" s="58" t="s">
        <v>234</v>
      </c>
      <c r="DF574" s="8" t="s">
        <v>514</v>
      </c>
    </row>
    <row r="575" spans="1:110" hidden="1" outlineLevel="1" x14ac:dyDescent="0.25">
      <c r="C575" s="57" t="str">
        <f>('Elenco Prezzi'!$B$143)</f>
        <v>Porta scorrevole inclusa nella facciata continua per ufficio</v>
      </c>
      <c r="D575" s="70"/>
      <c r="E575" s="70"/>
      <c r="F575" s="70"/>
      <c r="G575" s="70"/>
      <c r="H575" s="69"/>
      <c r="I575" s="65"/>
      <c r="J575" s="65"/>
      <c r="DF575" s="8" t="s">
        <v>514</v>
      </c>
    </row>
    <row r="576" spans="1:110" hidden="1" outlineLevel="1" x14ac:dyDescent="0.25">
      <c r="C576" s="57" t="str">
        <f>('Elenco Prezzi'!$B$144)</f>
        <v>Porta scorrevole inclusa nella facciata continua per ufficio</v>
      </c>
      <c r="D576" s="70"/>
      <c r="E576" s="70"/>
      <c r="F576" s="70"/>
      <c r="G576" s="70"/>
      <c r="H576" s="69"/>
      <c r="I576" s="65"/>
      <c r="J576" s="65"/>
      <c r="DF576" s="8" t="s">
        <v>514</v>
      </c>
    </row>
    <row r="577" spans="1:110" outlineLevel="1" x14ac:dyDescent="0.25">
      <c r="C577" s="59" t="s">
        <v>235</v>
      </c>
      <c r="D577" s="70"/>
      <c r="E577" s="70"/>
      <c r="F577" s="70"/>
      <c r="G577" s="70"/>
      <c r="H577" s="69"/>
      <c r="I577" s="65"/>
      <c r="J577" s="65"/>
      <c r="DF577" s="8" t="s">
        <v>514</v>
      </c>
    </row>
    <row r="578" spans="1:110" outlineLevel="1" x14ac:dyDescent="0.25">
      <c r="C578" s="5" t="s">
        <v>369</v>
      </c>
      <c r="D578" s="70">
        <v>2</v>
      </c>
      <c r="E578" s="70"/>
      <c r="F578" s="70"/>
      <c r="G578" s="70"/>
      <c r="H578" s="69">
        <f>PRODUCT($CV$578,$CW$578,$CX$578,$CY$578)</f>
        <v>2</v>
      </c>
      <c r="I578" s="65"/>
      <c r="J578" s="65"/>
      <c r="CV578" s="8">
        <f>(2)</f>
        <v>2</v>
      </c>
      <c r="DF578" s="8" t="s">
        <v>514</v>
      </c>
    </row>
    <row r="579" spans="1:110" outlineLevel="1" x14ac:dyDescent="0.25">
      <c r="C579" s="5" t="s">
        <v>370</v>
      </c>
      <c r="D579" s="70">
        <v>5</v>
      </c>
      <c r="E579" s="70"/>
      <c r="F579" s="70"/>
      <c r="G579" s="70"/>
      <c r="H579" s="69">
        <f>PRODUCT($CV$579,$CW$579,$CX$579,$CY$579)</f>
        <v>5</v>
      </c>
      <c r="I579" s="65"/>
      <c r="J579" s="65"/>
      <c r="CV579" s="8">
        <f>(5)</f>
        <v>5</v>
      </c>
      <c r="DF579" s="8" t="s">
        <v>514</v>
      </c>
    </row>
    <row r="580" spans="1:110" x14ac:dyDescent="0.25">
      <c r="C580" s="60" t="str">
        <f>CONCATENATE("SOMMANO " &amp; 'Elenco Prezzi'!$C$142)</f>
        <v>SOMMANO Cad. Uno</v>
      </c>
      <c r="D580" s="70"/>
      <c r="E580" s="70"/>
      <c r="F580" s="70"/>
      <c r="G580" s="70"/>
      <c r="H580" s="69">
        <f>SUM($H$578:$H$579)</f>
        <v>7</v>
      </c>
      <c r="I580" s="65"/>
      <c r="J580" s="65"/>
      <c r="DF580" s="8" t="s">
        <v>514</v>
      </c>
    </row>
    <row r="581" spans="1:110" ht="31.5" x14ac:dyDescent="0.25">
      <c r="A581" s="3">
        <v>74</v>
      </c>
      <c r="B581" s="56" t="str">
        <f>('Elenco Prezzi'!$A$145)</f>
        <v>700.105</v>
      </c>
      <c r="C581" s="23" t="str">
        <f>('Elenco Prezzi'!$B$145)</f>
        <v>Porta a doppia anta per ingresso principale</v>
      </c>
      <c r="D581" s="70"/>
      <c r="E581" s="70"/>
      <c r="F581" s="70"/>
      <c r="G581" s="70"/>
      <c r="H581" s="69"/>
      <c r="I581" s="65"/>
      <c r="J581" s="65"/>
      <c r="K581" s="58" t="s">
        <v>231</v>
      </c>
      <c r="L581" s="58" t="s">
        <v>232</v>
      </c>
      <c r="M581" s="58" t="s">
        <v>232</v>
      </c>
      <c r="N581" s="58" t="s">
        <v>234</v>
      </c>
      <c r="DF581" s="8" t="s">
        <v>514</v>
      </c>
    </row>
    <row r="582" spans="1:110" hidden="1" outlineLevel="1" x14ac:dyDescent="0.25">
      <c r="C582" s="57" t="str">
        <f>('Elenco Prezzi'!$B$146)</f>
        <v>Porta a doppia anta per ingresso principale</v>
      </c>
      <c r="D582" s="70"/>
      <c r="E582" s="70"/>
      <c r="F582" s="70"/>
      <c r="G582" s="70"/>
      <c r="H582" s="69"/>
      <c r="I582" s="65"/>
      <c r="J582" s="65"/>
      <c r="DF582" s="8" t="s">
        <v>514</v>
      </c>
    </row>
    <row r="583" spans="1:110" hidden="1" outlineLevel="1" x14ac:dyDescent="0.25">
      <c r="C583" s="57" t="str">
        <f>('Elenco Prezzi'!$B$147)</f>
        <v>Porta a doppia anta per ingresso principale</v>
      </c>
      <c r="D583" s="70"/>
      <c r="E583" s="70"/>
      <c r="F583" s="70"/>
      <c r="G583" s="70"/>
      <c r="H583" s="69"/>
      <c r="I583" s="65"/>
      <c r="J583" s="65"/>
      <c r="DF583" s="8" t="s">
        <v>514</v>
      </c>
    </row>
    <row r="584" spans="1:110" outlineLevel="1" x14ac:dyDescent="0.25">
      <c r="C584" s="59" t="s">
        <v>235</v>
      </c>
      <c r="D584" s="70"/>
      <c r="E584" s="70"/>
      <c r="F584" s="70"/>
      <c r="G584" s="70"/>
      <c r="H584" s="69"/>
      <c r="I584" s="65"/>
      <c r="J584" s="65"/>
      <c r="DF584" s="8" t="s">
        <v>514</v>
      </c>
    </row>
    <row r="585" spans="1:110" ht="31.5" outlineLevel="1" x14ac:dyDescent="0.25">
      <c r="C585" s="5" t="s">
        <v>371</v>
      </c>
      <c r="D585" s="70">
        <v>1</v>
      </c>
      <c r="E585" s="70"/>
      <c r="F585" s="70"/>
      <c r="G585" s="70"/>
      <c r="H585" s="69">
        <f>PRODUCT($CV$585,$CW$585,$CX$585,$CY$585)</f>
        <v>1</v>
      </c>
      <c r="I585" s="65"/>
      <c r="J585" s="65"/>
      <c r="CV585" s="8">
        <f>(1)</f>
        <v>1</v>
      </c>
      <c r="DF585" s="8" t="s">
        <v>514</v>
      </c>
    </row>
    <row r="586" spans="1:110" ht="31.5" outlineLevel="1" x14ac:dyDescent="0.25">
      <c r="C586" s="5" t="s">
        <v>372</v>
      </c>
      <c r="D586" s="70">
        <v>1</v>
      </c>
      <c r="E586" s="70"/>
      <c r="F586" s="70"/>
      <c r="G586" s="70"/>
      <c r="H586" s="69">
        <f>PRODUCT($CV$586,$CW$586,$CX$586,$CY$586)</f>
        <v>1</v>
      </c>
      <c r="I586" s="65"/>
      <c r="J586" s="65"/>
      <c r="CV586" s="8">
        <f>(1)</f>
        <v>1</v>
      </c>
      <c r="DF586" s="8" t="s">
        <v>514</v>
      </c>
    </row>
    <row r="587" spans="1:110" x14ac:dyDescent="0.25">
      <c r="C587" s="60" t="str">
        <f>CONCATENATE("SOMMANO " &amp; 'Elenco Prezzi'!$C$145)</f>
        <v>SOMMANO Cad. Uno</v>
      </c>
      <c r="D587" s="70"/>
      <c r="E587" s="70"/>
      <c r="F587" s="70"/>
      <c r="G587" s="70"/>
      <c r="H587" s="69">
        <f>SUM($H$585:$H$586)</f>
        <v>2</v>
      </c>
      <c r="I587" s="65">
        <f>('Elenco Prezzi'!$D$145)</f>
        <v>380</v>
      </c>
      <c r="J587" s="65">
        <f>PRODUCT($H$587,$I$587)</f>
        <v>760</v>
      </c>
      <c r="DF587" s="8" t="s">
        <v>514</v>
      </c>
    </row>
    <row r="588" spans="1:110" ht="31.5" x14ac:dyDescent="0.25">
      <c r="A588" s="3">
        <v>75</v>
      </c>
      <c r="B588" s="56" t="str">
        <f>('Elenco Prezzi'!$A$148)</f>
        <v>700.106</v>
      </c>
      <c r="C588" s="23" t="str">
        <f>('Elenco Prezzi'!$B$148)</f>
        <v>Porta a doppia anta di servizio grande</v>
      </c>
      <c r="D588" s="70"/>
      <c r="E588" s="70"/>
      <c r="F588" s="70"/>
      <c r="G588" s="70"/>
      <c r="H588" s="69"/>
      <c r="I588" s="65"/>
      <c r="J588" s="65"/>
      <c r="K588" s="58" t="s">
        <v>231</v>
      </c>
      <c r="L588" s="58" t="s">
        <v>373</v>
      </c>
      <c r="M588" s="58" t="s">
        <v>232</v>
      </c>
      <c r="N588" s="58" t="s">
        <v>234</v>
      </c>
      <c r="DF588" s="8" t="s">
        <v>514</v>
      </c>
    </row>
    <row r="589" spans="1:110" hidden="1" outlineLevel="1" x14ac:dyDescent="0.25">
      <c r="C589" s="57" t="str">
        <f>('Elenco Prezzi'!$B$149)</f>
        <v>Porta a doppia anta di servizio grande</v>
      </c>
      <c r="D589" s="70"/>
      <c r="E589" s="70"/>
      <c r="F589" s="70"/>
      <c r="G589" s="70"/>
      <c r="H589" s="69"/>
      <c r="I589" s="65"/>
      <c r="J589" s="65"/>
      <c r="DF589" s="8" t="s">
        <v>514</v>
      </c>
    </row>
    <row r="590" spans="1:110" hidden="1" outlineLevel="1" x14ac:dyDescent="0.25">
      <c r="C590" s="57" t="str">
        <f>('Elenco Prezzi'!$B$150)</f>
        <v>Porta a doppia anta di servizio grande</v>
      </c>
      <c r="D590" s="70"/>
      <c r="E590" s="70"/>
      <c r="F590" s="70"/>
      <c r="G590" s="70"/>
      <c r="H590" s="69"/>
      <c r="I590" s="65"/>
      <c r="J590" s="65"/>
      <c r="DF590" s="8" t="s">
        <v>514</v>
      </c>
    </row>
    <row r="591" spans="1:110" outlineLevel="1" x14ac:dyDescent="0.25">
      <c r="C591" s="59" t="s">
        <v>235</v>
      </c>
      <c r="D591" s="70"/>
      <c r="E591" s="70"/>
      <c r="F591" s="70"/>
      <c r="G591" s="70"/>
      <c r="H591" s="69"/>
      <c r="I591" s="65"/>
      <c r="J591" s="65"/>
      <c r="DF591" s="8" t="s">
        <v>514</v>
      </c>
    </row>
    <row r="592" spans="1:110" ht="31.5" outlineLevel="1" x14ac:dyDescent="0.25">
      <c r="C592" s="5" t="s">
        <v>374</v>
      </c>
      <c r="D592" s="70">
        <v>1</v>
      </c>
      <c r="E592" s="70"/>
      <c r="F592" s="70"/>
      <c r="G592" s="70"/>
      <c r="H592" s="69">
        <f>PRODUCT($CV$592,$CW$592,$CX$592,$CY$592)</f>
        <v>1</v>
      </c>
      <c r="I592" s="65"/>
      <c r="J592" s="65"/>
      <c r="CV592" s="8">
        <f>(1)</f>
        <v>1</v>
      </c>
      <c r="DF592" s="8" t="s">
        <v>514</v>
      </c>
    </row>
    <row r="593" spans="1:110" x14ac:dyDescent="0.25">
      <c r="C593" s="60" t="str">
        <f>CONCATENATE("SOMMANO " &amp; 'Elenco Prezzi'!$C$148)</f>
        <v>SOMMANO Cad. Uno</v>
      </c>
      <c r="D593" s="70"/>
      <c r="E593" s="70"/>
      <c r="F593" s="70"/>
      <c r="G593" s="70"/>
      <c r="H593" s="69">
        <f>SUM($H$592:$H$592)</f>
        <v>1</v>
      </c>
      <c r="I593" s="65">
        <f>('Elenco Prezzi'!$D$148)</f>
        <v>480</v>
      </c>
      <c r="J593" s="65">
        <f>PRODUCT($H$593,$I$593)</f>
        <v>480</v>
      </c>
      <c r="DF593" s="8" t="s">
        <v>514</v>
      </c>
    </row>
    <row r="594" spans="1:110" ht="31.5" x14ac:dyDescent="0.25">
      <c r="A594" s="3">
        <v>76</v>
      </c>
      <c r="B594" s="56" t="str">
        <f>('Elenco Prezzi'!$A$151)</f>
        <v>700.107</v>
      </c>
      <c r="C594" s="23" t="str">
        <f>('Elenco Prezzi'!$B$151)</f>
        <v>Porta a doppia anta di servizio piccola</v>
      </c>
      <c r="D594" s="70"/>
      <c r="E594" s="70"/>
      <c r="F594" s="70"/>
      <c r="G594" s="70"/>
      <c r="H594" s="69"/>
      <c r="I594" s="65"/>
      <c r="J594" s="65"/>
      <c r="K594" s="58" t="s">
        <v>231</v>
      </c>
      <c r="L594" s="58" t="s">
        <v>373</v>
      </c>
      <c r="M594" s="58" t="s">
        <v>232</v>
      </c>
      <c r="N594" s="58" t="s">
        <v>234</v>
      </c>
      <c r="DF594" s="8" t="s">
        <v>514</v>
      </c>
    </row>
    <row r="595" spans="1:110" hidden="1" outlineLevel="1" x14ac:dyDescent="0.25">
      <c r="C595" s="57" t="str">
        <f>('Elenco Prezzi'!$B$152)</f>
        <v>Porta a doppia anta di servizio piccola</v>
      </c>
      <c r="D595" s="70"/>
      <c r="E595" s="70"/>
      <c r="F595" s="70"/>
      <c r="G595" s="70"/>
      <c r="H595" s="69"/>
      <c r="I595" s="65"/>
      <c r="J595" s="65"/>
      <c r="DF595" s="8" t="s">
        <v>514</v>
      </c>
    </row>
    <row r="596" spans="1:110" hidden="1" outlineLevel="1" x14ac:dyDescent="0.25">
      <c r="C596" s="57" t="str">
        <f>('Elenco Prezzi'!$B$153)</f>
        <v>Porta a doppia anta di servizio piccola</v>
      </c>
      <c r="D596" s="70"/>
      <c r="E596" s="70"/>
      <c r="F596" s="70"/>
      <c r="G596" s="70"/>
      <c r="H596" s="69"/>
      <c r="I596" s="65"/>
      <c r="J596" s="65"/>
      <c r="DF596" s="8" t="s">
        <v>514</v>
      </c>
    </row>
    <row r="597" spans="1:110" outlineLevel="1" x14ac:dyDescent="0.25">
      <c r="C597" s="59" t="s">
        <v>235</v>
      </c>
      <c r="D597" s="70"/>
      <c r="E597" s="70"/>
      <c r="F597" s="70"/>
      <c r="G597" s="70"/>
      <c r="H597" s="69"/>
      <c r="I597" s="65"/>
      <c r="J597" s="65"/>
      <c r="DF597" s="8" t="s">
        <v>514</v>
      </c>
    </row>
    <row r="598" spans="1:110" ht="31.5" outlineLevel="1" x14ac:dyDescent="0.25">
      <c r="C598" s="5" t="s">
        <v>375</v>
      </c>
      <c r="D598" s="70">
        <v>1</v>
      </c>
      <c r="E598" s="70"/>
      <c r="F598" s="70"/>
      <c r="G598" s="70"/>
      <c r="H598" s="69">
        <f>PRODUCT($CV$598,$CW$598,$CX$598,$CY$598)</f>
        <v>1</v>
      </c>
      <c r="I598" s="65"/>
      <c r="J598" s="65"/>
      <c r="CV598" s="8">
        <f>(1)</f>
        <v>1</v>
      </c>
      <c r="DF598" s="8" t="s">
        <v>514</v>
      </c>
    </row>
    <row r="599" spans="1:110" x14ac:dyDescent="0.25">
      <c r="C599" s="60" t="str">
        <f>CONCATENATE("SOMMANO " &amp; 'Elenco Prezzi'!$C$151)</f>
        <v>SOMMANO Cad. Uno</v>
      </c>
      <c r="D599" s="70"/>
      <c r="E599" s="70"/>
      <c r="F599" s="70"/>
      <c r="G599" s="70"/>
      <c r="H599" s="69">
        <f>SUM($H$598:$H$598)</f>
        <v>1</v>
      </c>
      <c r="I599" s="65">
        <f>('Elenco Prezzi'!$D$151)</f>
        <v>420</v>
      </c>
      <c r="J599" s="65">
        <f>PRODUCT($H$599,$I$599)</f>
        <v>420</v>
      </c>
      <c r="DF599" s="8" t="s">
        <v>514</v>
      </c>
    </row>
    <row r="600" spans="1:110" ht="31.5" x14ac:dyDescent="0.25">
      <c r="A600" s="3">
        <v>77</v>
      </c>
      <c r="B600" s="56" t="str">
        <f>('Elenco Prezzi'!$A$154)</f>
        <v>750.001</v>
      </c>
      <c r="C600" s="23" t="str">
        <f>('Elenco Prezzi'!$B$154)</f>
        <v>Scavo per acque reflue</v>
      </c>
      <c r="D600" s="70"/>
      <c r="E600" s="70"/>
      <c r="F600" s="70"/>
      <c r="G600" s="70"/>
      <c r="H600" s="69"/>
      <c r="I600" s="65"/>
      <c r="J600" s="65"/>
      <c r="K600" s="58" t="s">
        <v>364</v>
      </c>
      <c r="L600" s="58" t="s">
        <v>232</v>
      </c>
      <c r="M600" s="58" t="s">
        <v>232</v>
      </c>
      <c r="N600" s="58" t="s">
        <v>234</v>
      </c>
      <c r="DF600" s="8" t="s">
        <v>514</v>
      </c>
    </row>
    <row r="601" spans="1:110" hidden="1" outlineLevel="1" x14ac:dyDescent="0.25">
      <c r="C601" s="57" t="str">
        <f>('Elenco Prezzi'!$B$155)</f>
        <v>Scavo per acque reflue</v>
      </c>
      <c r="D601" s="70"/>
      <c r="E601" s="70"/>
      <c r="F601" s="70"/>
      <c r="G601" s="70"/>
      <c r="H601" s="69"/>
      <c r="I601" s="65"/>
      <c r="J601" s="65"/>
      <c r="DF601" s="8" t="s">
        <v>514</v>
      </c>
    </row>
    <row r="602" spans="1:110" hidden="1" outlineLevel="1" x14ac:dyDescent="0.25">
      <c r="C602" s="57" t="str">
        <f>('Elenco Prezzi'!$B$156)</f>
        <v>Scavo per acque reflue</v>
      </c>
      <c r="D602" s="70"/>
      <c r="E602" s="70"/>
      <c r="F602" s="70"/>
      <c r="G602" s="70"/>
      <c r="H602" s="69"/>
      <c r="I602" s="65"/>
      <c r="J602" s="65"/>
      <c r="DF602" s="8" t="s">
        <v>514</v>
      </c>
    </row>
    <row r="603" spans="1:110" outlineLevel="1" x14ac:dyDescent="0.25">
      <c r="C603" s="59" t="s">
        <v>235</v>
      </c>
      <c r="D603" s="70"/>
      <c r="E603" s="70"/>
      <c r="F603" s="70"/>
      <c r="G603" s="70"/>
      <c r="H603" s="69"/>
      <c r="I603" s="65"/>
      <c r="J603" s="65"/>
      <c r="DF603" s="8" t="s">
        <v>514</v>
      </c>
    </row>
    <row r="604" spans="1:110" outlineLevel="1" x14ac:dyDescent="0.25">
      <c r="C604" s="5" t="s">
        <v>376</v>
      </c>
      <c r="D604" s="70"/>
      <c r="E604" s="70" t="s">
        <v>377</v>
      </c>
      <c r="F604" s="70">
        <v>1.5</v>
      </c>
      <c r="G604" s="70">
        <v>2.2000000000000002</v>
      </c>
      <c r="H604" s="69">
        <f>PRODUCT($CV$604,$CW$604,$CX$604,$CY$604)</f>
        <v>39.204000000000001</v>
      </c>
      <c r="I604" s="65"/>
      <c r="J604" s="65"/>
      <c r="CW604" s="8">
        <f>(9.9*1.2)</f>
        <v>11.88</v>
      </c>
      <c r="CX604" s="8">
        <f>(1.5)</f>
        <v>1.5</v>
      </c>
      <c r="CY604" s="8">
        <f>(2.2)</f>
        <v>2.2000000000000002</v>
      </c>
      <c r="DF604" s="8" t="s">
        <v>514</v>
      </c>
    </row>
    <row r="605" spans="1:110" outlineLevel="1" x14ac:dyDescent="0.25">
      <c r="C605" s="5" t="s">
        <v>378</v>
      </c>
      <c r="D605" s="70"/>
      <c r="E605" s="70" t="s">
        <v>379</v>
      </c>
      <c r="F605" s="70">
        <v>1.5</v>
      </c>
      <c r="G605" s="70">
        <v>2.2000000000000002</v>
      </c>
      <c r="H605" s="69">
        <f>PRODUCT($CV$605,$CW$605,$CX$605,$CY$605)</f>
        <v>9.5040000000000013</v>
      </c>
      <c r="I605" s="65"/>
      <c r="J605" s="65"/>
      <c r="CW605" s="8">
        <f>(2.4*1.2)</f>
        <v>2.88</v>
      </c>
      <c r="CX605" s="8">
        <f>(1.5)</f>
        <v>1.5</v>
      </c>
      <c r="CY605" s="8">
        <f>(2.2)</f>
        <v>2.2000000000000002</v>
      </c>
      <c r="DF605" s="8" t="s">
        <v>514</v>
      </c>
    </row>
    <row r="606" spans="1:110" outlineLevel="1" x14ac:dyDescent="0.25">
      <c r="C606" s="5" t="s">
        <v>380</v>
      </c>
      <c r="D606" s="70"/>
      <c r="E606" s="70" t="s">
        <v>381</v>
      </c>
      <c r="F606" s="70">
        <v>1.5</v>
      </c>
      <c r="G606" s="70">
        <v>2.2000000000000002</v>
      </c>
      <c r="H606" s="69">
        <f>PRODUCT($CV$606,$CW$606,$CX$606,$CY$606)</f>
        <v>17.669519999999999</v>
      </c>
      <c r="I606" s="65"/>
      <c r="J606" s="65"/>
      <c r="CW606" s="8">
        <f>(4.462*1.2)</f>
        <v>5.3543999999999992</v>
      </c>
      <c r="CX606" s="8">
        <f>(1.5)</f>
        <v>1.5</v>
      </c>
      <c r="CY606" s="8">
        <f>(2.2)</f>
        <v>2.2000000000000002</v>
      </c>
      <c r="DF606" s="8" t="s">
        <v>514</v>
      </c>
    </row>
    <row r="607" spans="1:110" outlineLevel="1" x14ac:dyDescent="0.25">
      <c r="C607" s="5" t="s">
        <v>382</v>
      </c>
      <c r="D607" s="70"/>
      <c r="E607" s="70" t="s">
        <v>383</v>
      </c>
      <c r="F607" s="70">
        <v>1.5</v>
      </c>
      <c r="G607" s="70">
        <v>2.2000000000000002</v>
      </c>
      <c r="H607" s="69">
        <f>PRODUCT($CV$607,$CW$607,$CX$607,$CY$607)</f>
        <v>7.128000000000001</v>
      </c>
      <c r="I607" s="65"/>
      <c r="J607" s="65"/>
      <c r="CW607" s="8">
        <f>(1.8*1.2)</f>
        <v>2.16</v>
      </c>
      <c r="CX607" s="8">
        <f>(1.5)</f>
        <v>1.5</v>
      </c>
      <c r="CY607" s="8">
        <f>(2.2)</f>
        <v>2.2000000000000002</v>
      </c>
      <c r="DF607" s="8" t="s">
        <v>514</v>
      </c>
    </row>
    <row r="608" spans="1:110" x14ac:dyDescent="0.25">
      <c r="C608" s="60" t="str">
        <f>CONCATENATE("SOMMANO " &amp; 'Elenco Prezzi'!$C$154)</f>
        <v>SOMMANO m3</v>
      </c>
      <c r="D608" s="70"/>
      <c r="E608" s="70"/>
      <c r="F608" s="70"/>
      <c r="G608" s="70"/>
      <c r="H608" s="69">
        <f>SUM($H$604:$H$607)</f>
        <v>73.505520000000004</v>
      </c>
      <c r="I608" s="65">
        <f>('Elenco Prezzi'!$D$154)</f>
        <v>48</v>
      </c>
      <c r="J608" s="65">
        <f>PRODUCT($H$608,$I$608)</f>
        <v>3528.2649600000004</v>
      </c>
      <c r="DF608" s="8" t="s">
        <v>514</v>
      </c>
    </row>
    <row r="609" spans="1:110" ht="31.5" x14ac:dyDescent="0.25">
      <c r="A609" s="3">
        <v>78</v>
      </c>
      <c r="B609" s="56" t="str">
        <f>('Elenco Prezzi'!$A$157)</f>
        <v>750.002</v>
      </c>
      <c r="C609" s="23" t="str">
        <f>('Elenco Prezzi'!$B$157)</f>
        <v>Posa tubazione per acque reflue</v>
      </c>
      <c r="D609" s="70"/>
      <c r="E609" s="70"/>
      <c r="F609" s="70"/>
      <c r="G609" s="70"/>
      <c r="H609" s="69"/>
      <c r="I609" s="65"/>
      <c r="J609" s="65"/>
      <c r="K609" s="58" t="s">
        <v>364</v>
      </c>
      <c r="L609" s="58" t="s">
        <v>232</v>
      </c>
      <c r="M609" s="58" t="s">
        <v>232</v>
      </c>
      <c r="N609" s="58" t="s">
        <v>234</v>
      </c>
      <c r="DF609" s="8" t="s">
        <v>514</v>
      </c>
    </row>
    <row r="610" spans="1:110" hidden="1" outlineLevel="1" x14ac:dyDescent="0.25">
      <c r="C610" s="57" t="str">
        <f>('Elenco Prezzi'!$B$158)</f>
        <v>Posa tubazione per acque reflue</v>
      </c>
      <c r="D610" s="70"/>
      <c r="E610" s="70"/>
      <c r="F610" s="70"/>
      <c r="G610" s="70"/>
      <c r="H610" s="69"/>
      <c r="I610" s="65"/>
      <c r="J610" s="65"/>
      <c r="DF610" s="8" t="s">
        <v>514</v>
      </c>
    </row>
    <row r="611" spans="1:110" hidden="1" outlineLevel="1" x14ac:dyDescent="0.25">
      <c r="C611" s="57" t="str">
        <f>('Elenco Prezzi'!$B$159)</f>
        <v>Posa tubazione per acque reflue</v>
      </c>
      <c r="D611" s="70"/>
      <c r="E611" s="70"/>
      <c r="F611" s="70"/>
      <c r="G611" s="70"/>
      <c r="H611" s="69"/>
      <c r="I611" s="65"/>
      <c r="J611" s="65"/>
      <c r="DF611" s="8" t="s">
        <v>514</v>
      </c>
    </row>
    <row r="612" spans="1:110" outlineLevel="1" x14ac:dyDescent="0.25">
      <c r="C612" s="59" t="s">
        <v>235</v>
      </c>
      <c r="D612" s="70"/>
      <c r="E612" s="70"/>
      <c r="F612" s="70"/>
      <c r="G612" s="70"/>
      <c r="H612" s="69"/>
      <c r="I612" s="65"/>
      <c r="J612" s="65"/>
      <c r="DF612" s="8" t="s">
        <v>514</v>
      </c>
    </row>
    <row r="613" spans="1:110" outlineLevel="1" x14ac:dyDescent="0.25">
      <c r="C613" s="5" t="s">
        <v>376</v>
      </c>
      <c r="D613" s="70"/>
      <c r="E613" s="70">
        <v>9.9</v>
      </c>
      <c r="F613" s="70"/>
      <c r="G613" s="70"/>
      <c r="H613" s="69">
        <f>PRODUCT($CV$613,$CW$613,$CX$613,$CY$613)</f>
        <v>9.9</v>
      </c>
      <c r="I613" s="65"/>
      <c r="J613" s="65"/>
      <c r="CW613" s="8">
        <f>(9.9)</f>
        <v>9.9</v>
      </c>
      <c r="DF613" s="8" t="s">
        <v>514</v>
      </c>
    </row>
    <row r="614" spans="1:110" outlineLevel="1" x14ac:dyDescent="0.25">
      <c r="C614" s="5" t="s">
        <v>382</v>
      </c>
      <c r="D614" s="70"/>
      <c r="E614" s="70">
        <v>1.8</v>
      </c>
      <c r="F614" s="70"/>
      <c r="G614" s="70"/>
      <c r="H614" s="69">
        <f>PRODUCT($CV$614,$CW$614,$CX$614,$CY$614)</f>
        <v>1.8</v>
      </c>
      <c r="I614" s="65"/>
      <c r="J614" s="65"/>
      <c r="CW614" s="8">
        <f>(1.8)</f>
        <v>1.8</v>
      </c>
      <c r="DF614" s="8" t="s">
        <v>514</v>
      </c>
    </row>
    <row r="615" spans="1:110" outlineLevel="1" x14ac:dyDescent="0.25">
      <c r="C615" s="5" t="s">
        <v>378</v>
      </c>
      <c r="D615" s="70"/>
      <c r="E615" s="70">
        <v>2.4</v>
      </c>
      <c r="F615" s="70"/>
      <c r="G615" s="70"/>
      <c r="H615" s="69">
        <f>PRODUCT($CV$615,$CW$615,$CX$615,$CY$615)</f>
        <v>2.4</v>
      </c>
      <c r="I615" s="65"/>
      <c r="J615" s="65"/>
      <c r="CW615" s="8">
        <f>(2.4)</f>
        <v>2.4</v>
      </c>
      <c r="DF615" s="8" t="s">
        <v>514</v>
      </c>
    </row>
    <row r="616" spans="1:110" outlineLevel="1" x14ac:dyDescent="0.25">
      <c r="C616" s="5" t="s">
        <v>380</v>
      </c>
      <c r="D616" s="70"/>
      <c r="E616" s="70">
        <v>4.4619999999999997</v>
      </c>
      <c r="F616" s="70"/>
      <c r="G616" s="70"/>
      <c r="H616" s="69">
        <f>PRODUCT($CV$616,$CW$616,$CX$616,$CY$616)</f>
        <v>4.4619999999999997</v>
      </c>
      <c r="I616" s="65"/>
      <c r="J616" s="65"/>
      <c r="CW616" s="8">
        <f>(4.462)</f>
        <v>4.4619999999999997</v>
      </c>
      <c r="DF616" s="8" t="s">
        <v>514</v>
      </c>
    </row>
    <row r="617" spans="1:110" x14ac:dyDescent="0.25">
      <c r="C617" s="60" t="str">
        <f>CONCATENATE("SOMMANO " &amp; 'Elenco Prezzi'!$C$157)</f>
        <v>SOMMANO m</v>
      </c>
      <c r="D617" s="70"/>
      <c r="E617" s="70"/>
      <c r="F617" s="70"/>
      <c r="G617" s="70"/>
      <c r="H617" s="69">
        <f>SUM($H$613:$H$616)</f>
        <v>18.562000000000001</v>
      </c>
      <c r="I617" s="65">
        <f>('Elenco Prezzi'!$D$157)</f>
        <v>7</v>
      </c>
      <c r="J617" s="65">
        <f>PRODUCT($H$617,$I$617)</f>
        <v>129.934</v>
      </c>
      <c r="DF617" s="8" t="s">
        <v>514</v>
      </c>
    </row>
    <row r="618" spans="1:110" ht="31.5" x14ac:dyDescent="0.25">
      <c r="A618" s="3">
        <v>79</v>
      </c>
      <c r="B618" s="56" t="str">
        <f>('Elenco Prezzi'!$A$160)</f>
        <v>750.003</v>
      </c>
      <c r="C618" s="23" t="str">
        <f>('Elenco Prezzi'!$B$160)</f>
        <v>Tubazione diametro 40 mm per aque reflue</v>
      </c>
      <c r="D618" s="70"/>
      <c r="E618" s="70"/>
      <c r="F618" s="70"/>
      <c r="G618" s="70"/>
      <c r="H618" s="69"/>
      <c r="I618" s="65"/>
      <c r="J618" s="65"/>
      <c r="K618" s="58" t="s">
        <v>364</v>
      </c>
      <c r="L618" s="58" t="s">
        <v>232</v>
      </c>
      <c r="M618" s="58" t="s">
        <v>232</v>
      </c>
      <c r="N618" s="58" t="s">
        <v>234</v>
      </c>
      <c r="DF618" s="8" t="s">
        <v>514</v>
      </c>
    </row>
    <row r="619" spans="1:110" hidden="1" outlineLevel="1" x14ac:dyDescent="0.25">
      <c r="C619" s="57" t="str">
        <f>('Elenco Prezzi'!$B$161)</f>
        <v>Tubazione diametro 40 mm per aque reflue</v>
      </c>
      <c r="D619" s="70"/>
      <c r="E619" s="70"/>
      <c r="F619" s="70"/>
      <c r="G619" s="70"/>
      <c r="H619" s="69"/>
      <c r="I619" s="65"/>
      <c r="J619" s="65"/>
      <c r="DF619" s="8" t="s">
        <v>514</v>
      </c>
    </row>
    <row r="620" spans="1:110" hidden="1" outlineLevel="1" x14ac:dyDescent="0.25">
      <c r="C620" s="57" t="str">
        <f>('Elenco Prezzi'!$B$162)</f>
        <v>Tubazione diametro 40 mm per aque reflue</v>
      </c>
      <c r="D620" s="70"/>
      <c r="E620" s="70"/>
      <c r="F620" s="70"/>
      <c r="G620" s="70"/>
      <c r="H620" s="69"/>
      <c r="I620" s="65"/>
      <c r="J620" s="65"/>
      <c r="DF620" s="8" t="s">
        <v>514</v>
      </c>
    </row>
    <row r="621" spans="1:110" outlineLevel="1" x14ac:dyDescent="0.25">
      <c r="C621" s="59" t="s">
        <v>235</v>
      </c>
      <c r="D621" s="70"/>
      <c r="E621" s="70"/>
      <c r="F621" s="70"/>
      <c r="G621" s="70"/>
      <c r="H621" s="69"/>
      <c r="I621" s="65"/>
      <c r="J621" s="65"/>
      <c r="DF621" s="8" t="s">
        <v>514</v>
      </c>
    </row>
    <row r="622" spans="1:110" outlineLevel="1" x14ac:dyDescent="0.25">
      <c r="C622" s="5" t="s">
        <v>382</v>
      </c>
      <c r="D622" s="70"/>
      <c r="E622" s="70" t="s">
        <v>383</v>
      </c>
      <c r="F622" s="70"/>
      <c r="G622" s="70"/>
      <c r="H622" s="69">
        <f>PRODUCT($CV$622,$CW$622,$CX$622,$CY$622)</f>
        <v>2.16</v>
      </c>
      <c r="I622" s="65"/>
      <c r="J622" s="65"/>
      <c r="CW622" s="8">
        <f>(1.8*1.2)</f>
        <v>2.16</v>
      </c>
      <c r="DF622" s="8" t="s">
        <v>514</v>
      </c>
    </row>
    <row r="623" spans="1:110" outlineLevel="1" x14ac:dyDescent="0.25">
      <c r="C623" s="5" t="s">
        <v>378</v>
      </c>
      <c r="D623" s="70"/>
      <c r="E623" s="70" t="s">
        <v>379</v>
      </c>
      <c r="F623" s="70"/>
      <c r="G623" s="70"/>
      <c r="H623" s="69">
        <f>PRODUCT($CV$623,$CW$623,$CX$623,$CY$623)</f>
        <v>2.88</v>
      </c>
      <c r="I623" s="65"/>
      <c r="J623" s="65"/>
      <c r="CW623" s="8">
        <f>(2.4*1.2)</f>
        <v>2.88</v>
      </c>
      <c r="DF623" s="8" t="s">
        <v>514</v>
      </c>
    </row>
    <row r="624" spans="1:110" outlineLevel="1" x14ac:dyDescent="0.25">
      <c r="C624" s="5" t="s">
        <v>376</v>
      </c>
      <c r="D624" s="70"/>
      <c r="E624" s="70" t="s">
        <v>377</v>
      </c>
      <c r="F624" s="70"/>
      <c r="G624" s="70"/>
      <c r="H624" s="69">
        <f>PRODUCT($CV$624,$CW$624,$CX$624,$CY$624)</f>
        <v>11.88</v>
      </c>
      <c r="I624" s="65"/>
      <c r="J624" s="65"/>
      <c r="CW624" s="8">
        <f>(9.9*1.2)</f>
        <v>11.88</v>
      </c>
      <c r="DF624" s="8" t="s">
        <v>514</v>
      </c>
    </row>
    <row r="625" spans="1:110" outlineLevel="1" x14ac:dyDescent="0.25">
      <c r="C625" s="5" t="s">
        <v>380</v>
      </c>
      <c r="D625" s="70"/>
      <c r="E625" s="70" t="s">
        <v>381</v>
      </c>
      <c r="F625" s="70"/>
      <c r="G625" s="70"/>
      <c r="H625" s="69">
        <f>PRODUCT($CV$625,$CW$625,$CX$625,$CY$625)</f>
        <v>5.3543999999999992</v>
      </c>
      <c r="I625" s="65"/>
      <c r="J625" s="65"/>
      <c r="CW625" s="8">
        <f>(4.462*1.2)</f>
        <v>5.3543999999999992</v>
      </c>
      <c r="DF625" s="8" t="s">
        <v>514</v>
      </c>
    </row>
    <row r="626" spans="1:110" x14ac:dyDescent="0.25">
      <c r="C626" s="60" t="str">
        <f>CONCATENATE("SOMMANO " &amp; 'Elenco Prezzi'!$C$160)</f>
        <v>SOMMANO m</v>
      </c>
      <c r="D626" s="70"/>
      <c r="E626" s="70"/>
      <c r="F626" s="70"/>
      <c r="G626" s="70"/>
      <c r="H626" s="69">
        <f>SUM($H$622:$H$625)</f>
        <v>22.2744</v>
      </c>
      <c r="I626" s="65">
        <f>('Elenco Prezzi'!$D$160)</f>
        <v>4.5</v>
      </c>
      <c r="J626" s="65">
        <f>PRODUCT($H$626,$I$626)</f>
        <v>100.23480000000001</v>
      </c>
      <c r="DF626" s="8" t="s">
        <v>514</v>
      </c>
    </row>
    <row r="627" spans="1:110" ht="31.5" x14ac:dyDescent="0.25">
      <c r="A627" s="3">
        <v>80</v>
      </c>
      <c r="B627" s="56" t="str">
        <f>('Elenco Prezzi'!$A$163)</f>
        <v>770.001</v>
      </c>
      <c r="C627" s="23" t="str">
        <f>('Elenco Prezzi'!$B$163)</f>
        <v>Noleggio giornaliero escavatore movimento terra</v>
      </c>
      <c r="D627" s="70"/>
      <c r="E627" s="70"/>
      <c r="F627" s="70"/>
      <c r="G627" s="70"/>
      <c r="H627" s="69"/>
      <c r="I627" s="65"/>
      <c r="J627" s="65"/>
      <c r="K627" s="58" t="s">
        <v>364</v>
      </c>
      <c r="L627" s="58" t="s">
        <v>232</v>
      </c>
      <c r="M627" s="58" t="s">
        <v>232</v>
      </c>
      <c r="N627" s="58" t="s">
        <v>234</v>
      </c>
      <c r="DF627" s="8" t="s">
        <v>514</v>
      </c>
    </row>
    <row r="628" spans="1:110" hidden="1" outlineLevel="1" x14ac:dyDescent="0.25">
      <c r="C628" s="57" t="str">
        <f>('Elenco Prezzi'!$B$164)</f>
        <v>Noleggio giornaliero escavatore movimento terra</v>
      </c>
      <c r="D628" s="70"/>
      <c r="E628" s="70"/>
      <c r="F628" s="70"/>
      <c r="G628" s="70"/>
      <c r="H628" s="69"/>
      <c r="I628" s="65"/>
      <c r="J628" s="65"/>
      <c r="DF628" s="8" t="s">
        <v>514</v>
      </c>
    </row>
    <row r="629" spans="1:110" hidden="1" outlineLevel="1" x14ac:dyDescent="0.25">
      <c r="C629" s="57" t="str">
        <f>('Elenco Prezzi'!$B$165)</f>
        <v>Noleggio giornaliero escavatore movimento terra</v>
      </c>
      <c r="D629" s="70"/>
      <c r="E629" s="70"/>
      <c r="F629" s="70"/>
      <c r="G629" s="70"/>
      <c r="H629" s="69"/>
      <c r="I629" s="65"/>
      <c r="J629" s="65"/>
      <c r="DF629" s="8" t="s">
        <v>514</v>
      </c>
    </row>
    <row r="630" spans="1:110" outlineLevel="1" x14ac:dyDescent="0.25">
      <c r="C630" s="59" t="s">
        <v>235</v>
      </c>
      <c r="D630" s="70"/>
      <c r="E630" s="70"/>
      <c r="F630" s="70"/>
      <c r="G630" s="70"/>
      <c r="H630" s="69"/>
      <c r="I630" s="65"/>
      <c r="J630" s="65"/>
      <c r="DF630" s="8" t="s">
        <v>514</v>
      </c>
    </row>
    <row r="631" spans="1:110" outlineLevel="1" x14ac:dyDescent="0.25">
      <c r="C631" s="5" t="s">
        <v>384</v>
      </c>
      <c r="D631" s="70">
        <v>5</v>
      </c>
      <c r="E631" s="70"/>
      <c r="F631" s="70"/>
      <c r="G631" s="70"/>
      <c r="H631" s="69">
        <f>PRODUCT($CV$631,$CW$631,$CX$631,$CY$631)</f>
        <v>5</v>
      </c>
      <c r="I631" s="65"/>
      <c r="J631" s="65"/>
      <c r="CV631" s="8">
        <f>(5)</f>
        <v>5</v>
      </c>
      <c r="DF631" s="8" t="s">
        <v>514</v>
      </c>
    </row>
    <row r="632" spans="1:110" x14ac:dyDescent="0.25">
      <c r="C632" s="60" t="str">
        <f>CONCATENATE("SOMMANO " &amp; 'Elenco Prezzi'!$C$163)</f>
        <v>SOMMANO Cad. Uno</v>
      </c>
      <c r="D632" s="70"/>
      <c r="E632" s="70"/>
      <c r="F632" s="70"/>
      <c r="G632" s="70"/>
      <c r="H632" s="69">
        <f>SUM($H$631:$H$631)</f>
        <v>5</v>
      </c>
      <c r="I632" s="65">
        <f>('Elenco Prezzi'!$D$163)</f>
        <v>180</v>
      </c>
      <c r="J632" s="65">
        <f>PRODUCT($H$632,$I$632)</f>
        <v>900</v>
      </c>
      <c r="DF632" s="8" t="s">
        <v>514</v>
      </c>
    </row>
    <row r="633" spans="1:110" ht="31.5" x14ac:dyDescent="0.25">
      <c r="A633" s="3">
        <v>81</v>
      </c>
      <c r="B633" s="56" t="str">
        <f>('Elenco Prezzi'!$A$166)</f>
        <v>800.001</v>
      </c>
      <c r="C633" s="23" t="str">
        <f>('Elenco Prezzi'!$B$166)</f>
        <v>Finestra posa e trasporto</v>
      </c>
      <c r="D633" s="70"/>
      <c r="E633" s="70"/>
      <c r="F633" s="70"/>
      <c r="G633" s="70"/>
      <c r="H633" s="69"/>
      <c r="I633" s="65"/>
      <c r="J633" s="65"/>
      <c r="K633" s="58" t="s">
        <v>239</v>
      </c>
      <c r="L633" s="58" t="s">
        <v>373</v>
      </c>
      <c r="M633" s="58" t="s">
        <v>385</v>
      </c>
      <c r="N633" s="58" t="s">
        <v>234</v>
      </c>
      <c r="DF633" s="8" t="s">
        <v>514</v>
      </c>
    </row>
    <row r="634" spans="1:110" hidden="1" outlineLevel="1" x14ac:dyDescent="0.25">
      <c r="C634" s="57" t="str">
        <f>('Elenco Prezzi'!$B$167)</f>
        <v>Finestra posa e trasporto</v>
      </c>
      <c r="D634" s="70"/>
      <c r="E634" s="70"/>
      <c r="F634" s="70"/>
      <c r="G634" s="70"/>
      <c r="H634" s="69"/>
      <c r="I634" s="65"/>
      <c r="J634" s="65"/>
      <c r="DF634" s="8" t="s">
        <v>514</v>
      </c>
    </row>
    <row r="635" spans="1:110" hidden="1" outlineLevel="1" x14ac:dyDescent="0.25">
      <c r="C635" s="57" t="str">
        <f>('Elenco Prezzi'!$B$168)</f>
        <v>Finestra posa e trasporto</v>
      </c>
      <c r="D635" s="70"/>
      <c r="E635" s="70"/>
      <c r="F635" s="70"/>
      <c r="G635" s="70"/>
      <c r="H635" s="69"/>
      <c r="I635" s="65"/>
      <c r="J635" s="65"/>
      <c r="DF635" s="8" t="s">
        <v>514</v>
      </c>
    </row>
    <row r="636" spans="1:110" outlineLevel="1" x14ac:dyDescent="0.25">
      <c r="C636" s="59" t="s">
        <v>235</v>
      </c>
      <c r="D636" s="70"/>
      <c r="E636" s="70"/>
      <c r="F636" s="70"/>
      <c r="G636" s="70"/>
      <c r="H636" s="69"/>
      <c r="I636" s="65"/>
      <c r="J636" s="65"/>
      <c r="DF636" s="8" t="s">
        <v>514</v>
      </c>
    </row>
    <row r="637" spans="1:110" outlineLevel="1" x14ac:dyDescent="0.25">
      <c r="C637" s="5" t="s">
        <v>386</v>
      </c>
      <c r="D637" s="70">
        <v>1</v>
      </c>
      <c r="E637" s="70"/>
      <c r="F637" s="70"/>
      <c r="G637" s="70"/>
      <c r="H637" s="69">
        <f>PRODUCT($CV$637,$CW$637,$CX$637,$CY$637)</f>
        <v>1</v>
      </c>
      <c r="I637" s="65"/>
      <c r="J637" s="65"/>
      <c r="CV637" s="8">
        <f>(1)</f>
        <v>1</v>
      </c>
      <c r="DF637" s="8" t="s">
        <v>514</v>
      </c>
    </row>
    <row r="638" spans="1:110" outlineLevel="1" x14ac:dyDescent="0.25">
      <c r="C638" s="5" t="s">
        <v>387</v>
      </c>
      <c r="D638" s="70">
        <v>1</v>
      </c>
      <c r="E638" s="70"/>
      <c r="F638" s="70"/>
      <c r="G638" s="70"/>
      <c r="H638" s="69">
        <f>PRODUCT($CV$638,$CW$638,$CX$638,$CY$638)</f>
        <v>1</v>
      </c>
      <c r="I638" s="65"/>
      <c r="J638" s="65"/>
      <c r="CV638" s="8">
        <f>(1)</f>
        <v>1</v>
      </c>
      <c r="DF638" s="8" t="s">
        <v>514</v>
      </c>
    </row>
    <row r="639" spans="1:110" x14ac:dyDescent="0.25">
      <c r="C639" s="60" t="str">
        <f>CONCATENATE("SOMMANO " &amp; 'Elenco Prezzi'!$C$166)</f>
        <v>SOMMANO Cad. Uno</v>
      </c>
      <c r="D639" s="70"/>
      <c r="E639" s="70"/>
      <c r="F639" s="70"/>
      <c r="G639" s="70"/>
      <c r="H639" s="69">
        <f>SUM($H$637:$H$638)</f>
        <v>2</v>
      </c>
      <c r="I639" s="65">
        <f>('Elenco Prezzi'!$D$166)</f>
        <v>60</v>
      </c>
      <c r="J639" s="65">
        <f>PRODUCT($H$639,$I$639)</f>
        <v>120</v>
      </c>
      <c r="DF639" s="8" t="s">
        <v>514</v>
      </c>
    </row>
    <row r="640" spans="1:110" ht="31.5" x14ac:dyDescent="0.25">
      <c r="A640" s="3">
        <v>82</v>
      </c>
      <c r="B640" s="56" t="str">
        <f>('Elenco Prezzi'!$A$166)</f>
        <v>800.001</v>
      </c>
      <c r="C640" s="23" t="str">
        <f>('Elenco Prezzi'!$B$166)</f>
        <v>Finestra posa e trasporto</v>
      </c>
      <c r="D640" s="70"/>
      <c r="E640" s="70"/>
      <c r="F640" s="70"/>
      <c r="G640" s="70"/>
      <c r="H640" s="69"/>
      <c r="I640" s="65"/>
      <c r="J640" s="65"/>
      <c r="K640" s="58" t="s">
        <v>239</v>
      </c>
      <c r="L640" s="58" t="s">
        <v>373</v>
      </c>
      <c r="M640" s="58" t="s">
        <v>388</v>
      </c>
      <c r="N640" s="58" t="s">
        <v>234</v>
      </c>
      <c r="DF640" s="8" t="s">
        <v>514</v>
      </c>
    </row>
    <row r="641" spans="1:110" hidden="1" outlineLevel="1" x14ac:dyDescent="0.25">
      <c r="C641" s="57" t="str">
        <f>('Elenco Prezzi'!$B$167)</f>
        <v>Finestra posa e trasporto</v>
      </c>
      <c r="D641" s="70"/>
      <c r="E641" s="70"/>
      <c r="F641" s="70"/>
      <c r="G641" s="70"/>
      <c r="H641" s="69"/>
      <c r="I641" s="65"/>
      <c r="J641" s="65"/>
      <c r="DF641" s="8" t="s">
        <v>514</v>
      </c>
    </row>
    <row r="642" spans="1:110" hidden="1" outlineLevel="1" x14ac:dyDescent="0.25">
      <c r="C642" s="57" t="str">
        <f>('Elenco Prezzi'!$B$168)</f>
        <v>Finestra posa e trasporto</v>
      </c>
      <c r="D642" s="70"/>
      <c r="E642" s="70"/>
      <c r="F642" s="70"/>
      <c r="G642" s="70"/>
      <c r="H642" s="69"/>
      <c r="I642" s="65"/>
      <c r="J642" s="65"/>
      <c r="DF642" s="8" t="s">
        <v>514</v>
      </c>
    </row>
    <row r="643" spans="1:110" outlineLevel="1" x14ac:dyDescent="0.25">
      <c r="C643" s="59" t="s">
        <v>235</v>
      </c>
      <c r="D643" s="70"/>
      <c r="E643" s="70"/>
      <c r="F643" s="70"/>
      <c r="G643" s="70"/>
      <c r="H643" s="69"/>
      <c r="I643" s="65"/>
      <c r="J643" s="65"/>
      <c r="DF643" s="8" t="s">
        <v>514</v>
      </c>
    </row>
    <row r="644" spans="1:110" outlineLevel="1" x14ac:dyDescent="0.25">
      <c r="C644" s="5" t="s">
        <v>389</v>
      </c>
      <c r="D644" s="70">
        <v>1</v>
      </c>
      <c r="E644" s="70"/>
      <c r="F644" s="70"/>
      <c r="G644" s="70"/>
      <c r="H644" s="69">
        <f>PRODUCT($CV$644,$CW$644,$CX$644,$CY$644)</f>
        <v>1</v>
      </c>
      <c r="I644" s="65"/>
      <c r="J644" s="65"/>
      <c r="CV644" s="8">
        <f>(1)</f>
        <v>1</v>
      </c>
      <c r="DF644" s="8" t="s">
        <v>514</v>
      </c>
    </row>
    <row r="645" spans="1:110" x14ac:dyDescent="0.25">
      <c r="C645" s="60" t="str">
        <f>CONCATENATE("SOMMANO " &amp; 'Elenco Prezzi'!$C$166)</f>
        <v>SOMMANO Cad. Uno</v>
      </c>
      <c r="D645" s="70"/>
      <c r="E645" s="70"/>
      <c r="F645" s="70"/>
      <c r="G645" s="70"/>
      <c r="H645" s="69">
        <f>SUM($H$644:$H$644)</f>
        <v>1</v>
      </c>
      <c r="I645" s="65">
        <f>('Elenco Prezzi'!$D$166)</f>
        <v>60</v>
      </c>
      <c r="J645" s="65">
        <f>PRODUCT($H$645,$I$645)</f>
        <v>60</v>
      </c>
      <c r="DF645" s="8" t="s">
        <v>514</v>
      </c>
    </row>
    <row r="646" spans="1:110" ht="31.5" x14ac:dyDescent="0.25">
      <c r="A646" s="3">
        <v>83</v>
      </c>
      <c r="B646" s="56" t="str">
        <f>('Elenco Prezzi'!$A$166)</f>
        <v>800.001</v>
      </c>
      <c r="C646" s="23" t="str">
        <f>('Elenco Prezzi'!$B$166)</f>
        <v>Finestra posa e trasporto</v>
      </c>
      <c r="D646" s="70"/>
      <c r="E646" s="70"/>
      <c r="F646" s="70"/>
      <c r="G646" s="70"/>
      <c r="H646" s="69"/>
      <c r="I646" s="65"/>
      <c r="J646" s="65"/>
      <c r="K646" s="58" t="s">
        <v>231</v>
      </c>
      <c r="L646" s="58" t="s">
        <v>373</v>
      </c>
      <c r="M646" s="58" t="s">
        <v>390</v>
      </c>
      <c r="N646" s="58" t="s">
        <v>234</v>
      </c>
      <c r="DF646" s="8" t="s">
        <v>514</v>
      </c>
    </row>
    <row r="647" spans="1:110" hidden="1" outlineLevel="1" x14ac:dyDescent="0.25">
      <c r="C647" s="57" t="str">
        <f>('Elenco Prezzi'!$B$167)</f>
        <v>Finestra posa e trasporto</v>
      </c>
      <c r="D647" s="70"/>
      <c r="E647" s="70"/>
      <c r="F647" s="70"/>
      <c r="G647" s="70"/>
      <c r="H647" s="69"/>
      <c r="I647" s="65"/>
      <c r="J647" s="65"/>
      <c r="DF647" s="8" t="s">
        <v>514</v>
      </c>
    </row>
    <row r="648" spans="1:110" hidden="1" outlineLevel="1" x14ac:dyDescent="0.25">
      <c r="C648" s="57" t="str">
        <f>('Elenco Prezzi'!$B$168)</f>
        <v>Finestra posa e trasporto</v>
      </c>
      <c r="D648" s="70"/>
      <c r="E648" s="70"/>
      <c r="F648" s="70"/>
      <c r="G648" s="70"/>
      <c r="H648" s="69"/>
      <c r="I648" s="65"/>
      <c r="J648" s="65"/>
      <c r="DF648" s="8" t="s">
        <v>514</v>
      </c>
    </row>
    <row r="649" spans="1:110" outlineLevel="1" x14ac:dyDescent="0.25">
      <c r="C649" s="59" t="s">
        <v>235</v>
      </c>
      <c r="D649" s="70"/>
      <c r="E649" s="70"/>
      <c r="F649" s="70"/>
      <c r="G649" s="70"/>
      <c r="H649" s="69"/>
      <c r="I649" s="65"/>
      <c r="J649" s="65"/>
      <c r="DF649" s="8" t="s">
        <v>514</v>
      </c>
    </row>
    <row r="650" spans="1:110" outlineLevel="1" x14ac:dyDescent="0.25">
      <c r="C650" s="5" t="s">
        <v>391</v>
      </c>
      <c r="D650" s="70">
        <v>1</v>
      </c>
      <c r="E650" s="70"/>
      <c r="F650" s="70"/>
      <c r="G650" s="70"/>
      <c r="H650" s="69">
        <f>PRODUCT($CV$650,$CW$650,$CX$650,$CY$650)</f>
        <v>1</v>
      </c>
      <c r="I650" s="65"/>
      <c r="J650" s="65"/>
      <c r="CV650" s="8">
        <f>(1)</f>
        <v>1</v>
      </c>
      <c r="DF650" s="8" t="s">
        <v>514</v>
      </c>
    </row>
    <row r="651" spans="1:110" outlineLevel="1" x14ac:dyDescent="0.25">
      <c r="C651" s="5" t="s">
        <v>392</v>
      </c>
      <c r="D651" s="70">
        <v>1</v>
      </c>
      <c r="E651" s="70"/>
      <c r="F651" s="70"/>
      <c r="G651" s="70"/>
      <c r="H651" s="69">
        <f>PRODUCT($CV$651,$CW$651,$CX$651,$CY$651)</f>
        <v>1</v>
      </c>
      <c r="I651" s="65"/>
      <c r="J651" s="65"/>
      <c r="CV651" s="8">
        <f>(1)</f>
        <v>1</v>
      </c>
      <c r="DF651" s="8" t="s">
        <v>514</v>
      </c>
    </row>
    <row r="652" spans="1:110" x14ac:dyDescent="0.25">
      <c r="C652" s="60" t="str">
        <f>CONCATENATE("SOMMANO " &amp; 'Elenco Prezzi'!$C$166)</f>
        <v>SOMMANO Cad. Uno</v>
      </c>
      <c r="D652" s="70"/>
      <c r="E652" s="70"/>
      <c r="F652" s="70"/>
      <c r="G652" s="70"/>
      <c r="H652" s="69">
        <f>SUM($H$650:$H$651)</f>
        <v>2</v>
      </c>
      <c r="I652" s="65">
        <f>('Elenco Prezzi'!$D$166)</f>
        <v>60</v>
      </c>
      <c r="J652" s="65">
        <f>PRODUCT($H$652,$I$652)</f>
        <v>120</v>
      </c>
      <c r="DF652" s="8" t="s">
        <v>514</v>
      </c>
    </row>
    <row r="653" spans="1:110" ht="31.5" x14ac:dyDescent="0.25">
      <c r="A653" s="3">
        <v>84</v>
      </c>
      <c r="B653" s="56" t="str">
        <f>('Elenco Prezzi'!$A$166)</f>
        <v>800.001</v>
      </c>
      <c r="C653" s="23" t="str">
        <f>('Elenco Prezzi'!$B$166)</f>
        <v>Finestra posa e trasporto</v>
      </c>
      <c r="D653" s="70"/>
      <c r="E653" s="70"/>
      <c r="F653" s="70"/>
      <c r="G653" s="70"/>
      <c r="H653" s="69"/>
      <c r="I653" s="65"/>
      <c r="J653" s="65"/>
      <c r="K653" s="58" t="s">
        <v>231</v>
      </c>
      <c r="L653" s="58" t="s">
        <v>373</v>
      </c>
      <c r="M653" s="58" t="s">
        <v>385</v>
      </c>
      <c r="N653" s="58" t="s">
        <v>234</v>
      </c>
      <c r="DF653" s="8" t="s">
        <v>514</v>
      </c>
    </row>
    <row r="654" spans="1:110" hidden="1" outlineLevel="1" x14ac:dyDescent="0.25">
      <c r="C654" s="57" t="str">
        <f>('Elenco Prezzi'!$B$167)</f>
        <v>Finestra posa e trasporto</v>
      </c>
      <c r="D654" s="70"/>
      <c r="E654" s="70"/>
      <c r="F654" s="70"/>
      <c r="G654" s="70"/>
      <c r="H654" s="69"/>
      <c r="I654" s="65"/>
      <c r="J654" s="65"/>
      <c r="DF654" s="8" t="s">
        <v>514</v>
      </c>
    </row>
    <row r="655" spans="1:110" hidden="1" outlineLevel="1" x14ac:dyDescent="0.25">
      <c r="C655" s="57" t="str">
        <f>('Elenco Prezzi'!$B$168)</f>
        <v>Finestra posa e trasporto</v>
      </c>
      <c r="D655" s="70"/>
      <c r="E655" s="70"/>
      <c r="F655" s="70"/>
      <c r="G655" s="70"/>
      <c r="H655" s="69"/>
      <c r="I655" s="65"/>
      <c r="J655" s="65"/>
      <c r="DF655" s="8" t="s">
        <v>514</v>
      </c>
    </row>
    <row r="656" spans="1:110" outlineLevel="1" x14ac:dyDescent="0.25">
      <c r="C656" s="59" t="s">
        <v>235</v>
      </c>
      <c r="D656" s="70"/>
      <c r="E656" s="70"/>
      <c r="F656" s="70"/>
      <c r="G656" s="70"/>
      <c r="H656" s="69"/>
      <c r="I656" s="65"/>
      <c r="J656" s="65"/>
      <c r="DF656" s="8" t="s">
        <v>514</v>
      </c>
    </row>
    <row r="657" spans="1:110" outlineLevel="1" x14ac:dyDescent="0.25">
      <c r="C657" s="5" t="s">
        <v>393</v>
      </c>
      <c r="D657" s="70">
        <v>1</v>
      </c>
      <c r="E657" s="70"/>
      <c r="F657" s="70"/>
      <c r="G657" s="70"/>
      <c r="H657" s="69">
        <f>PRODUCT($CV$657,$CW$657,$CX$657,$CY$657)</f>
        <v>1</v>
      </c>
      <c r="I657" s="65"/>
      <c r="J657" s="65"/>
      <c r="CV657" s="8">
        <f>(1)</f>
        <v>1</v>
      </c>
      <c r="DF657" s="8" t="s">
        <v>514</v>
      </c>
    </row>
    <row r="658" spans="1:110" x14ac:dyDescent="0.25">
      <c r="C658" s="60" t="str">
        <f>CONCATENATE("SOMMANO " &amp; 'Elenco Prezzi'!$C$166)</f>
        <v>SOMMANO Cad. Uno</v>
      </c>
      <c r="D658" s="70"/>
      <c r="E658" s="70"/>
      <c r="F658" s="70"/>
      <c r="G658" s="70"/>
      <c r="H658" s="69">
        <f>SUM($H$657:$H$657)</f>
        <v>1</v>
      </c>
      <c r="I658" s="65">
        <f>('Elenco Prezzi'!$D$166)</f>
        <v>60</v>
      </c>
      <c r="J658" s="65">
        <f>PRODUCT($H$658,$I$658)</f>
        <v>60</v>
      </c>
      <c r="DF658" s="8" t="s">
        <v>514</v>
      </c>
    </row>
    <row r="659" spans="1:110" ht="31.5" x14ac:dyDescent="0.25">
      <c r="A659" s="3">
        <v>85</v>
      </c>
      <c r="B659" s="56" t="str">
        <f>('Elenco Prezzi'!$A$169)</f>
        <v>800.002</v>
      </c>
      <c r="C659" s="23" t="str">
        <f>('Elenco Prezzi'!$B$169)</f>
        <v>Finestra (lato sinistro dell'edificio)</v>
      </c>
      <c r="D659" s="70"/>
      <c r="E659" s="70"/>
      <c r="F659" s="70"/>
      <c r="G659" s="70"/>
      <c r="H659" s="69"/>
      <c r="I659" s="65"/>
      <c r="J659" s="65"/>
      <c r="K659" s="58" t="s">
        <v>239</v>
      </c>
      <c r="L659" s="58" t="s">
        <v>373</v>
      </c>
      <c r="M659" s="58" t="s">
        <v>232</v>
      </c>
      <c r="N659" s="58" t="s">
        <v>234</v>
      </c>
      <c r="DF659" s="8" t="s">
        <v>514</v>
      </c>
    </row>
    <row r="660" spans="1:110" hidden="1" outlineLevel="1" x14ac:dyDescent="0.25">
      <c r="C660" s="57" t="str">
        <f>('Elenco Prezzi'!$B$170)</f>
        <v>Finestra (lato sinistro dell'edificio)</v>
      </c>
      <c r="D660" s="70"/>
      <c r="E660" s="70"/>
      <c r="F660" s="70"/>
      <c r="G660" s="70"/>
      <c r="H660" s="69"/>
      <c r="I660" s="65"/>
      <c r="J660" s="65"/>
      <c r="DF660" s="8" t="s">
        <v>514</v>
      </c>
    </row>
    <row r="661" spans="1:110" hidden="1" outlineLevel="1" x14ac:dyDescent="0.25">
      <c r="C661" s="57" t="str">
        <f>('Elenco Prezzi'!$B$171)</f>
        <v>Finestra (lato sinistro dell'edificio)</v>
      </c>
      <c r="D661" s="70"/>
      <c r="E661" s="70"/>
      <c r="F661" s="70"/>
      <c r="G661" s="70"/>
      <c r="H661" s="69"/>
      <c r="I661" s="65"/>
      <c r="J661" s="65"/>
      <c r="DF661" s="8" t="s">
        <v>514</v>
      </c>
    </row>
    <row r="662" spans="1:110" outlineLevel="1" x14ac:dyDescent="0.25">
      <c r="C662" s="59" t="s">
        <v>235</v>
      </c>
      <c r="D662" s="70"/>
      <c r="E662" s="70"/>
      <c r="F662" s="70"/>
      <c r="G662" s="70"/>
      <c r="H662" s="69"/>
      <c r="I662" s="65"/>
      <c r="J662" s="65"/>
      <c r="DF662" s="8" t="s">
        <v>514</v>
      </c>
    </row>
    <row r="663" spans="1:110" outlineLevel="1" x14ac:dyDescent="0.25">
      <c r="C663" s="5" t="s">
        <v>386</v>
      </c>
      <c r="D663" s="70">
        <v>1</v>
      </c>
      <c r="E663" s="70"/>
      <c r="F663" s="70"/>
      <c r="G663" s="70"/>
      <c r="H663" s="69">
        <f>PRODUCT($CV$663,$CW$663,$CX$663,$CY$663)</f>
        <v>1</v>
      </c>
      <c r="I663" s="65"/>
      <c r="J663" s="65"/>
      <c r="CV663" s="8">
        <f>(1)</f>
        <v>1</v>
      </c>
      <c r="DF663" s="8" t="s">
        <v>514</v>
      </c>
    </row>
    <row r="664" spans="1:110" outlineLevel="1" x14ac:dyDescent="0.25">
      <c r="C664" s="5" t="s">
        <v>387</v>
      </c>
      <c r="D664" s="70">
        <v>1</v>
      </c>
      <c r="E664" s="70"/>
      <c r="F664" s="70"/>
      <c r="G664" s="70"/>
      <c r="H664" s="69">
        <f>PRODUCT($CV$664,$CW$664,$CX$664,$CY$664)</f>
        <v>1</v>
      </c>
      <c r="I664" s="65"/>
      <c r="J664" s="65"/>
      <c r="CV664" s="8">
        <f>(1)</f>
        <v>1</v>
      </c>
      <c r="DF664" s="8" t="s">
        <v>514</v>
      </c>
    </row>
    <row r="665" spans="1:110" x14ac:dyDescent="0.25">
      <c r="C665" s="60" t="str">
        <f>CONCATENATE("SOMMANO " &amp; 'Elenco Prezzi'!$C$169)</f>
        <v>SOMMANO Cad. Uno</v>
      </c>
      <c r="D665" s="70"/>
      <c r="E665" s="70"/>
      <c r="F665" s="70"/>
      <c r="G665" s="70"/>
      <c r="H665" s="69">
        <f>SUM($H$663:$H$664)</f>
        <v>2</v>
      </c>
      <c r="I665" s="65">
        <f>('Elenco Prezzi'!$D$169)</f>
        <v>180</v>
      </c>
      <c r="J665" s="65">
        <f>PRODUCT($H$665,$I$665)</f>
        <v>360</v>
      </c>
      <c r="DF665" s="8" t="s">
        <v>514</v>
      </c>
    </row>
    <row r="666" spans="1:110" ht="31.5" x14ac:dyDescent="0.25">
      <c r="A666" s="3">
        <v>86</v>
      </c>
      <c r="B666" s="56" t="str">
        <f>('Elenco Prezzi'!$A$169)</f>
        <v>800.002</v>
      </c>
      <c r="C666" s="23" t="str">
        <f>('Elenco Prezzi'!$B$169)</f>
        <v>Finestra (lato sinistro dell'edificio)</v>
      </c>
      <c r="D666" s="70"/>
      <c r="E666" s="70"/>
      <c r="F666" s="70"/>
      <c r="G666" s="70"/>
      <c r="H666" s="69"/>
      <c r="I666" s="65"/>
      <c r="J666" s="65"/>
      <c r="K666" s="58" t="s">
        <v>231</v>
      </c>
      <c r="L666" s="58" t="s">
        <v>373</v>
      </c>
      <c r="M666" s="58" t="s">
        <v>232</v>
      </c>
      <c r="N666" s="58" t="s">
        <v>234</v>
      </c>
      <c r="DF666" s="8" t="s">
        <v>514</v>
      </c>
    </row>
    <row r="667" spans="1:110" hidden="1" outlineLevel="1" x14ac:dyDescent="0.25">
      <c r="C667" s="57" t="str">
        <f>('Elenco Prezzi'!$B$170)</f>
        <v>Finestra (lato sinistro dell'edificio)</v>
      </c>
      <c r="D667" s="70"/>
      <c r="E667" s="70"/>
      <c r="F667" s="70"/>
      <c r="G667" s="70"/>
      <c r="H667" s="69"/>
      <c r="I667" s="65"/>
      <c r="J667" s="65"/>
      <c r="DF667" s="8" t="s">
        <v>514</v>
      </c>
    </row>
    <row r="668" spans="1:110" hidden="1" outlineLevel="1" x14ac:dyDescent="0.25">
      <c r="C668" s="57" t="str">
        <f>('Elenco Prezzi'!$B$171)</f>
        <v>Finestra (lato sinistro dell'edificio)</v>
      </c>
      <c r="D668" s="70"/>
      <c r="E668" s="70"/>
      <c r="F668" s="70"/>
      <c r="G668" s="70"/>
      <c r="H668" s="69"/>
      <c r="I668" s="65"/>
      <c r="J668" s="65"/>
      <c r="DF668" s="8" t="s">
        <v>514</v>
      </c>
    </row>
    <row r="669" spans="1:110" outlineLevel="1" x14ac:dyDescent="0.25">
      <c r="C669" s="59" t="s">
        <v>235</v>
      </c>
      <c r="D669" s="70"/>
      <c r="E669" s="70"/>
      <c r="F669" s="70"/>
      <c r="G669" s="70"/>
      <c r="H669" s="69"/>
      <c r="I669" s="65"/>
      <c r="J669" s="65"/>
      <c r="DF669" s="8" t="s">
        <v>514</v>
      </c>
    </row>
    <row r="670" spans="1:110" outlineLevel="1" x14ac:dyDescent="0.25">
      <c r="C670" s="5" t="s">
        <v>392</v>
      </c>
      <c r="D670" s="70">
        <v>1</v>
      </c>
      <c r="E670" s="70"/>
      <c r="F670" s="70"/>
      <c r="G670" s="70"/>
      <c r="H670" s="69">
        <f>PRODUCT($CV$670,$CW$670,$CX$670,$CY$670)</f>
        <v>1</v>
      </c>
      <c r="I670" s="65"/>
      <c r="J670" s="65"/>
      <c r="CV670" s="8">
        <f>(1)</f>
        <v>1</v>
      </c>
      <c r="DF670" s="8" t="s">
        <v>514</v>
      </c>
    </row>
    <row r="671" spans="1:110" outlineLevel="1" x14ac:dyDescent="0.25">
      <c r="C671" s="5" t="s">
        <v>391</v>
      </c>
      <c r="D671" s="70">
        <v>1</v>
      </c>
      <c r="E671" s="70"/>
      <c r="F671" s="70"/>
      <c r="G671" s="70"/>
      <c r="H671" s="69">
        <f>PRODUCT($CV$671,$CW$671,$CX$671,$CY$671)</f>
        <v>1</v>
      </c>
      <c r="I671" s="65"/>
      <c r="J671" s="65"/>
      <c r="CV671" s="8">
        <f>(1)</f>
        <v>1</v>
      </c>
      <c r="DF671" s="8" t="s">
        <v>514</v>
      </c>
    </row>
    <row r="672" spans="1:110" x14ac:dyDescent="0.25">
      <c r="C672" s="60" t="str">
        <f>CONCATENATE("SOMMANO " &amp; 'Elenco Prezzi'!$C$169)</f>
        <v>SOMMANO Cad. Uno</v>
      </c>
      <c r="D672" s="70"/>
      <c r="E672" s="70"/>
      <c r="F672" s="70"/>
      <c r="G672" s="70"/>
      <c r="H672" s="69">
        <f>SUM($H$670:$H$671)</f>
        <v>2</v>
      </c>
      <c r="I672" s="65">
        <f>('Elenco Prezzi'!$D$169)</f>
        <v>180</v>
      </c>
      <c r="J672" s="65">
        <f>PRODUCT($H$672,$I$672)</f>
        <v>360</v>
      </c>
      <c r="DF672" s="8" t="s">
        <v>514</v>
      </c>
    </row>
    <row r="673" spans="1:110" ht="31.5" x14ac:dyDescent="0.25">
      <c r="A673" s="3">
        <v>87</v>
      </c>
      <c r="B673" s="56" t="str">
        <f>('Elenco Prezzi'!$A$172)</f>
        <v>800.003</v>
      </c>
      <c r="C673" s="23" t="str">
        <f>('Elenco Prezzi'!$B$172)</f>
        <v>Finestra (lato destro dell'edificio)</v>
      </c>
      <c r="D673" s="70"/>
      <c r="E673" s="70"/>
      <c r="F673" s="70"/>
      <c r="G673" s="70"/>
      <c r="H673" s="69"/>
      <c r="I673" s="65"/>
      <c r="J673" s="65"/>
      <c r="K673" s="58" t="s">
        <v>239</v>
      </c>
      <c r="L673" s="58" t="s">
        <v>373</v>
      </c>
      <c r="M673" s="58" t="s">
        <v>232</v>
      </c>
      <c r="N673" s="58" t="s">
        <v>234</v>
      </c>
      <c r="DF673" s="8" t="s">
        <v>514</v>
      </c>
    </row>
    <row r="674" spans="1:110" hidden="1" outlineLevel="1" x14ac:dyDescent="0.25">
      <c r="C674" s="57" t="str">
        <f>('Elenco Prezzi'!$B$173)</f>
        <v>Finestra (lato destro dell'edificio)</v>
      </c>
      <c r="D674" s="70"/>
      <c r="E674" s="70"/>
      <c r="F674" s="70"/>
      <c r="G674" s="70"/>
      <c r="H674" s="69"/>
      <c r="I674" s="65"/>
      <c r="J674" s="65"/>
      <c r="DF674" s="8" t="s">
        <v>514</v>
      </c>
    </row>
    <row r="675" spans="1:110" hidden="1" outlineLevel="1" x14ac:dyDescent="0.25">
      <c r="C675" s="57" t="str">
        <f>('Elenco Prezzi'!$B$174)</f>
        <v>Finestra (lato destro dell'edificio)</v>
      </c>
      <c r="D675" s="70"/>
      <c r="E675" s="70"/>
      <c r="F675" s="70"/>
      <c r="G675" s="70"/>
      <c r="H675" s="69"/>
      <c r="I675" s="65"/>
      <c r="J675" s="65"/>
      <c r="DF675" s="8" t="s">
        <v>514</v>
      </c>
    </row>
    <row r="676" spans="1:110" outlineLevel="1" x14ac:dyDescent="0.25">
      <c r="C676" s="59" t="s">
        <v>235</v>
      </c>
      <c r="D676" s="70"/>
      <c r="E676" s="70"/>
      <c r="F676" s="70"/>
      <c r="G676" s="70"/>
      <c r="H676" s="69"/>
      <c r="I676" s="65"/>
      <c r="J676" s="65"/>
      <c r="DF676" s="8" t="s">
        <v>514</v>
      </c>
    </row>
    <row r="677" spans="1:110" outlineLevel="1" x14ac:dyDescent="0.25">
      <c r="C677" s="5" t="s">
        <v>389</v>
      </c>
      <c r="D677" s="70">
        <v>1</v>
      </c>
      <c r="E677" s="70"/>
      <c r="F677" s="70"/>
      <c r="G677" s="70"/>
      <c r="H677" s="69">
        <f>PRODUCT($CV$677,$CW$677,$CX$677,$CY$677)</f>
        <v>1</v>
      </c>
      <c r="I677" s="65"/>
      <c r="J677" s="65"/>
      <c r="CV677" s="8">
        <f>(1)</f>
        <v>1</v>
      </c>
      <c r="DF677" s="8" t="s">
        <v>514</v>
      </c>
    </row>
    <row r="678" spans="1:110" x14ac:dyDescent="0.25">
      <c r="C678" s="60" t="str">
        <f>CONCATENATE("SOMMANO " &amp; 'Elenco Prezzi'!$C$172)</f>
        <v>SOMMANO Cad. Uno</v>
      </c>
      <c r="D678" s="70"/>
      <c r="E678" s="70"/>
      <c r="F678" s="70"/>
      <c r="G678" s="70"/>
      <c r="H678" s="69">
        <f>SUM($H$677:$H$677)</f>
        <v>1</v>
      </c>
      <c r="I678" s="65">
        <f>('Elenco Prezzi'!$D$172)</f>
        <v>200</v>
      </c>
      <c r="J678" s="65">
        <f>PRODUCT($H$678,$I$678)</f>
        <v>200</v>
      </c>
      <c r="DF678" s="8" t="s">
        <v>514</v>
      </c>
    </row>
    <row r="679" spans="1:110" ht="31.5" x14ac:dyDescent="0.25">
      <c r="A679" s="3">
        <v>88</v>
      </c>
      <c r="B679" s="56" t="str">
        <f>('Elenco Prezzi'!$A$172)</f>
        <v>800.003</v>
      </c>
      <c r="C679" s="23" t="str">
        <f>('Elenco Prezzi'!$B$172)</f>
        <v>Finestra (lato destro dell'edificio)</v>
      </c>
      <c r="D679" s="70"/>
      <c r="E679" s="70"/>
      <c r="F679" s="70"/>
      <c r="G679" s="70"/>
      <c r="H679" s="69"/>
      <c r="I679" s="65"/>
      <c r="J679" s="65"/>
      <c r="K679" s="58" t="s">
        <v>231</v>
      </c>
      <c r="L679" s="58" t="s">
        <v>373</v>
      </c>
      <c r="M679" s="58" t="s">
        <v>232</v>
      </c>
      <c r="N679" s="58" t="s">
        <v>234</v>
      </c>
      <c r="DF679" s="8" t="s">
        <v>514</v>
      </c>
    </row>
    <row r="680" spans="1:110" hidden="1" outlineLevel="1" x14ac:dyDescent="0.25">
      <c r="C680" s="57" t="str">
        <f>('Elenco Prezzi'!$B$173)</f>
        <v>Finestra (lato destro dell'edificio)</v>
      </c>
      <c r="D680" s="70"/>
      <c r="E680" s="70"/>
      <c r="F680" s="70"/>
      <c r="G680" s="70"/>
      <c r="H680" s="69"/>
      <c r="I680" s="65"/>
      <c r="J680" s="65"/>
      <c r="DF680" s="8" t="s">
        <v>514</v>
      </c>
    </row>
    <row r="681" spans="1:110" hidden="1" outlineLevel="1" x14ac:dyDescent="0.25">
      <c r="C681" s="57" t="str">
        <f>('Elenco Prezzi'!$B$174)</f>
        <v>Finestra (lato destro dell'edificio)</v>
      </c>
      <c r="D681" s="70"/>
      <c r="E681" s="70"/>
      <c r="F681" s="70"/>
      <c r="G681" s="70"/>
      <c r="H681" s="69"/>
      <c r="I681" s="65"/>
      <c r="J681" s="65"/>
      <c r="DF681" s="8" t="s">
        <v>514</v>
      </c>
    </row>
    <row r="682" spans="1:110" outlineLevel="1" x14ac:dyDescent="0.25">
      <c r="C682" s="59" t="s">
        <v>235</v>
      </c>
      <c r="D682" s="70"/>
      <c r="E682" s="70"/>
      <c r="F682" s="70"/>
      <c r="G682" s="70"/>
      <c r="H682" s="69"/>
      <c r="I682" s="65"/>
      <c r="J682" s="65"/>
      <c r="DF682" s="8" t="s">
        <v>514</v>
      </c>
    </row>
    <row r="683" spans="1:110" outlineLevel="1" x14ac:dyDescent="0.25">
      <c r="C683" s="5" t="s">
        <v>393</v>
      </c>
      <c r="D683" s="70">
        <v>1</v>
      </c>
      <c r="E683" s="70"/>
      <c r="F683" s="70"/>
      <c r="G683" s="70"/>
      <c r="H683" s="69">
        <f>PRODUCT($CV$683,$CW$683,$CX$683,$CY$683)</f>
        <v>1</v>
      </c>
      <c r="I683" s="65"/>
      <c r="J683" s="65"/>
      <c r="CV683" s="8">
        <f>(1)</f>
        <v>1</v>
      </c>
      <c r="DF683" s="8" t="s">
        <v>514</v>
      </c>
    </row>
    <row r="684" spans="1:110" x14ac:dyDescent="0.25">
      <c r="C684" s="60" t="str">
        <f>CONCATENATE("SOMMANO " &amp; 'Elenco Prezzi'!$C$172)</f>
        <v>SOMMANO Cad. Uno</v>
      </c>
      <c r="D684" s="70"/>
      <c r="E684" s="70"/>
      <c r="F684" s="70"/>
      <c r="G684" s="70"/>
      <c r="H684" s="69">
        <f>SUM($H$683:$H$683)</f>
        <v>1</v>
      </c>
      <c r="I684" s="65">
        <f>('Elenco Prezzi'!$D$172)</f>
        <v>200</v>
      </c>
      <c r="J684" s="65">
        <f>PRODUCT($H$684,$I$684)</f>
        <v>200</v>
      </c>
      <c r="DF684" s="8" t="s">
        <v>514</v>
      </c>
    </row>
    <row r="685" spans="1:110" ht="31.5" x14ac:dyDescent="0.25">
      <c r="A685" s="3">
        <v>89</v>
      </c>
      <c r="B685" s="56" t="str">
        <f>('Elenco Prezzi'!$A$175)</f>
        <v>800.004</v>
      </c>
      <c r="C685" s="23" t="str">
        <f>('Elenco Prezzi'!$B$175)</f>
        <v>Telaio finestre</v>
      </c>
      <c r="D685" s="70"/>
      <c r="E685" s="70"/>
      <c r="F685" s="70"/>
      <c r="G685" s="70"/>
      <c r="H685" s="69"/>
      <c r="I685" s="65"/>
      <c r="J685" s="65"/>
      <c r="K685" s="58" t="s">
        <v>239</v>
      </c>
      <c r="L685" s="58" t="s">
        <v>373</v>
      </c>
      <c r="M685" s="58" t="s">
        <v>232</v>
      </c>
      <c r="N685" s="58" t="s">
        <v>234</v>
      </c>
      <c r="DF685" s="8" t="s">
        <v>514</v>
      </c>
    </row>
    <row r="686" spans="1:110" hidden="1" outlineLevel="1" x14ac:dyDescent="0.25">
      <c r="C686" s="57" t="str">
        <f>('Elenco Prezzi'!$B$176)</f>
        <v>Telaio finestre</v>
      </c>
      <c r="D686" s="70"/>
      <c r="E686" s="70"/>
      <c r="F686" s="70"/>
      <c r="G686" s="70"/>
      <c r="H686" s="69"/>
      <c r="I686" s="65"/>
      <c r="J686" s="65"/>
      <c r="DF686" s="8" t="s">
        <v>514</v>
      </c>
    </row>
    <row r="687" spans="1:110" hidden="1" outlineLevel="1" x14ac:dyDescent="0.25">
      <c r="C687" s="57" t="str">
        <f>('Elenco Prezzi'!$B$177)</f>
        <v>Telaio finestre</v>
      </c>
      <c r="D687" s="70"/>
      <c r="E687" s="70"/>
      <c r="F687" s="70"/>
      <c r="G687" s="70"/>
      <c r="H687" s="69"/>
      <c r="I687" s="65"/>
      <c r="J687" s="65"/>
      <c r="DF687" s="8" t="s">
        <v>514</v>
      </c>
    </row>
    <row r="688" spans="1:110" outlineLevel="1" x14ac:dyDescent="0.25">
      <c r="C688" s="59" t="s">
        <v>235</v>
      </c>
      <c r="D688" s="70"/>
      <c r="E688" s="70"/>
      <c r="F688" s="70"/>
      <c r="G688" s="70"/>
      <c r="H688" s="69"/>
      <c r="I688" s="65"/>
      <c r="J688" s="65"/>
      <c r="DF688" s="8" t="s">
        <v>514</v>
      </c>
    </row>
    <row r="689" spans="1:110" outlineLevel="1" x14ac:dyDescent="0.25">
      <c r="C689" s="5" t="s">
        <v>389</v>
      </c>
      <c r="D689" s="70"/>
      <c r="E689" s="70" t="s">
        <v>394</v>
      </c>
      <c r="F689" s="70"/>
      <c r="G689" s="70"/>
      <c r="H689" s="69">
        <f>PRODUCT($CV$689,$CW$689,$CX$689,$CY$689)</f>
        <v>4.8</v>
      </c>
      <c r="I689" s="65"/>
      <c r="J689" s="65"/>
      <c r="CW689" s="8">
        <f>((0.9*2)+(1.5*2))</f>
        <v>4.8</v>
      </c>
      <c r="DF689" s="8" t="s">
        <v>514</v>
      </c>
    </row>
    <row r="690" spans="1:110" outlineLevel="1" x14ac:dyDescent="0.25">
      <c r="C690" s="5" t="s">
        <v>386</v>
      </c>
      <c r="D690" s="70"/>
      <c r="E690" s="70" t="s">
        <v>394</v>
      </c>
      <c r="F690" s="70"/>
      <c r="G690" s="70"/>
      <c r="H690" s="69">
        <f>PRODUCT($CV$690,$CW$690,$CX$690,$CY$690)</f>
        <v>4.8</v>
      </c>
      <c r="I690" s="65"/>
      <c r="J690" s="65"/>
      <c r="CW690" s="8">
        <f>((0.9*2)+(1.5*2))</f>
        <v>4.8</v>
      </c>
      <c r="DF690" s="8" t="s">
        <v>514</v>
      </c>
    </row>
    <row r="691" spans="1:110" outlineLevel="1" x14ac:dyDescent="0.25">
      <c r="C691" s="5" t="s">
        <v>387</v>
      </c>
      <c r="D691" s="70"/>
      <c r="E691" s="70" t="s">
        <v>394</v>
      </c>
      <c r="F691" s="70"/>
      <c r="G691" s="70"/>
      <c r="H691" s="69">
        <f>PRODUCT($CV$691,$CW$691,$CX$691,$CY$691)</f>
        <v>4.8</v>
      </c>
      <c r="I691" s="65"/>
      <c r="J691" s="65"/>
      <c r="CW691" s="8">
        <f>((0.9*2)+(1.5*2))</f>
        <v>4.8</v>
      </c>
      <c r="DF691" s="8" t="s">
        <v>514</v>
      </c>
    </row>
    <row r="692" spans="1:110" x14ac:dyDescent="0.25">
      <c r="C692" s="60" t="str">
        <f>CONCATENATE("SOMMANO " &amp; 'Elenco Prezzi'!$C$175)</f>
        <v>SOMMANO m</v>
      </c>
      <c r="D692" s="70"/>
      <c r="E692" s="70"/>
      <c r="F692" s="70"/>
      <c r="G692" s="70"/>
      <c r="H692" s="69">
        <f>SUM($H$689:$H$691)</f>
        <v>14.399999999999999</v>
      </c>
      <c r="I692" s="65"/>
      <c r="J692" s="65"/>
      <c r="DF692" s="8" t="s">
        <v>514</v>
      </c>
    </row>
    <row r="693" spans="1:110" ht="31.5" x14ac:dyDescent="0.25">
      <c r="A693" s="3">
        <v>90</v>
      </c>
      <c r="B693" s="56" t="str">
        <f>('Elenco Prezzi'!$A$175)</f>
        <v>800.004</v>
      </c>
      <c r="C693" s="23" t="str">
        <f>('Elenco Prezzi'!$B$175)</f>
        <v>Telaio finestre</v>
      </c>
      <c r="D693" s="70"/>
      <c r="E693" s="70"/>
      <c r="F693" s="70"/>
      <c r="G693" s="70"/>
      <c r="H693" s="69"/>
      <c r="I693" s="65"/>
      <c r="J693" s="65"/>
      <c r="K693" s="58" t="s">
        <v>231</v>
      </c>
      <c r="L693" s="58" t="s">
        <v>373</v>
      </c>
      <c r="M693" s="58" t="s">
        <v>232</v>
      </c>
      <c r="N693" s="58" t="s">
        <v>234</v>
      </c>
      <c r="DF693" s="8" t="s">
        <v>514</v>
      </c>
    </row>
    <row r="694" spans="1:110" hidden="1" outlineLevel="1" x14ac:dyDescent="0.25">
      <c r="C694" s="57" t="str">
        <f>('Elenco Prezzi'!$B$176)</f>
        <v>Telaio finestre</v>
      </c>
      <c r="D694" s="70"/>
      <c r="E694" s="70"/>
      <c r="F694" s="70"/>
      <c r="G694" s="70"/>
      <c r="H694" s="69"/>
      <c r="I694" s="65"/>
      <c r="J694" s="65"/>
      <c r="DF694" s="8" t="s">
        <v>514</v>
      </c>
    </row>
    <row r="695" spans="1:110" hidden="1" outlineLevel="1" x14ac:dyDescent="0.25">
      <c r="C695" s="57" t="str">
        <f>('Elenco Prezzi'!$B$177)</f>
        <v>Telaio finestre</v>
      </c>
      <c r="D695" s="70"/>
      <c r="E695" s="70"/>
      <c r="F695" s="70"/>
      <c r="G695" s="70"/>
      <c r="H695" s="69"/>
      <c r="I695" s="65"/>
      <c r="J695" s="65"/>
      <c r="DF695" s="8" t="s">
        <v>514</v>
      </c>
    </row>
    <row r="696" spans="1:110" outlineLevel="1" x14ac:dyDescent="0.25">
      <c r="C696" s="59" t="s">
        <v>235</v>
      </c>
      <c r="D696" s="70"/>
      <c r="E696" s="70"/>
      <c r="F696" s="70"/>
      <c r="G696" s="70"/>
      <c r="H696" s="69"/>
      <c r="I696" s="65"/>
      <c r="J696" s="65"/>
      <c r="DF696" s="8" t="s">
        <v>514</v>
      </c>
    </row>
    <row r="697" spans="1:110" outlineLevel="1" x14ac:dyDescent="0.25">
      <c r="C697" s="5" t="s">
        <v>391</v>
      </c>
      <c r="D697" s="70"/>
      <c r="E697" s="70" t="s">
        <v>394</v>
      </c>
      <c r="F697" s="70"/>
      <c r="G697" s="70"/>
      <c r="H697" s="69">
        <f>PRODUCT($CV$697,$CW$697,$CX$697,$CY$697)</f>
        <v>4.8</v>
      </c>
      <c r="I697" s="65"/>
      <c r="J697" s="65"/>
      <c r="CW697" s="8">
        <f>((0.9*2)+(1.5*2))</f>
        <v>4.8</v>
      </c>
      <c r="DF697" s="8" t="s">
        <v>514</v>
      </c>
    </row>
    <row r="698" spans="1:110" outlineLevel="1" x14ac:dyDescent="0.25">
      <c r="C698" s="5" t="s">
        <v>392</v>
      </c>
      <c r="D698" s="70"/>
      <c r="E698" s="70" t="s">
        <v>394</v>
      </c>
      <c r="F698" s="70"/>
      <c r="G698" s="70"/>
      <c r="H698" s="69">
        <f>PRODUCT($CV$698,$CW$698,$CX$698,$CY$698)</f>
        <v>4.8</v>
      </c>
      <c r="I698" s="65"/>
      <c r="J698" s="65"/>
      <c r="CW698" s="8">
        <f>((0.9*2)+(1.5*2))</f>
        <v>4.8</v>
      </c>
      <c r="DF698" s="8" t="s">
        <v>514</v>
      </c>
    </row>
    <row r="699" spans="1:110" outlineLevel="1" x14ac:dyDescent="0.25">
      <c r="C699" s="5" t="s">
        <v>393</v>
      </c>
      <c r="D699" s="70"/>
      <c r="E699" s="70" t="s">
        <v>394</v>
      </c>
      <c r="F699" s="70"/>
      <c r="G699" s="70"/>
      <c r="H699" s="69">
        <f>PRODUCT($CV$699,$CW$699,$CX$699,$CY$699)</f>
        <v>4.8</v>
      </c>
      <c r="I699" s="65"/>
      <c r="J699" s="65"/>
      <c r="CW699" s="8">
        <f>((0.9*2)+(1.5*2))</f>
        <v>4.8</v>
      </c>
      <c r="DF699" s="8" t="s">
        <v>514</v>
      </c>
    </row>
    <row r="700" spans="1:110" x14ac:dyDescent="0.25">
      <c r="C700" s="60" t="str">
        <f>CONCATENATE("SOMMANO " &amp; 'Elenco Prezzi'!$C$175)</f>
        <v>SOMMANO m</v>
      </c>
      <c r="D700" s="70"/>
      <c r="E700" s="70"/>
      <c r="F700" s="70"/>
      <c r="G700" s="70"/>
      <c r="H700" s="69">
        <f>SUM($H$697:$H$699)</f>
        <v>14.399999999999999</v>
      </c>
      <c r="I700" s="65"/>
      <c r="J700" s="65"/>
      <c r="DF700" s="8" t="s">
        <v>514</v>
      </c>
    </row>
    <row r="701" spans="1:110" ht="31.5" x14ac:dyDescent="0.25">
      <c r="A701" s="3">
        <v>91</v>
      </c>
      <c r="B701" s="56" t="str">
        <f>('Elenco Prezzi'!$A$178)</f>
        <v>850.001</v>
      </c>
      <c r="C701" s="23" t="str">
        <f>('Elenco Prezzi'!$B$178)</f>
        <v>Pannello in vetro per facciata continua</v>
      </c>
      <c r="D701" s="70"/>
      <c r="E701" s="70"/>
      <c r="F701" s="70"/>
      <c r="G701" s="70"/>
      <c r="H701" s="69"/>
      <c r="I701" s="65"/>
      <c r="J701" s="65"/>
      <c r="K701" s="58" t="s">
        <v>239</v>
      </c>
      <c r="L701" s="58" t="s">
        <v>232</v>
      </c>
      <c r="M701" s="58" t="s">
        <v>232</v>
      </c>
      <c r="N701" s="58" t="s">
        <v>234</v>
      </c>
      <c r="DF701" s="8" t="s">
        <v>514</v>
      </c>
    </row>
    <row r="702" spans="1:110" hidden="1" outlineLevel="1" x14ac:dyDescent="0.25">
      <c r="C702" s="57" t="str">
        <f>('Elenco Prezzi'!$B$179)</f>
        <v>Pannello in vetro per facciata continua</v>
      </c>
      <c r="D702" s="70"/>
      <c r="E702" s="70"/>
      <c r="F702" s="70"/>
      <c r="G702" s="70"/>
      <c r="H702" s="69"/>
      <c r="I702" s="65"/>
      <c r="J702" s="65"/>
      <c r="DF702" s="8" t="s">
        <v>514</v>
      </c>
    </row>
    <row r="703" spans="1:110" hidden="1" outlineLevel="1" x14ac:dyDescent="0.25">
      <c r="C703" s="57" t="str">
        <f>('Elenco Prezzi'!$B$180)</f>
        <v>Pannello in vetro per facciata continua</v>
      </c>
      <c r="D703" s="70"/>
      <c r="E703" s="70"/>
      <c r="F703" s="70"/>
      <c r="G703" s="70"/>
      <c r="H703" s="69"/>
      <c r="I703" s="65"/>
      <c r="J703" s="65"/>
      <c r="DF703" s="8" t="s">
        <v>514</v>
      </c>
    </row>
    <row r="704" spans="1:110" outlineLevel="1" x14ac:dyDescent="0.25">
      <c r="C704" s="59" t="s">
        <v>235</v>
      </c>
      <c r="D704" s="70"/>
      <c r="E704" s="70"/>
      <c r="F704" s="70"/>
      <c r="G704" s="70"/>
      <c r="H704" s="69"/>
      <c r="I704" s="65"/>
      <c r="J704" s="65"/>
      <c r="DF704" s="8" t="s">
        <v>514</v>
      </c>
    </row>
    <row r="705" spans="1:110" ht="31.5" outlineLevel="1" x14ac:dyDescent="0.25">
      <c r="C705" s="5" t="s">
        <v>395</v>
      </c>
      <c r="D705" s="70"/>
      <c r="E705" s="70">
        <v>0.375</v>
      </c>
      <c r="F705" s="70"/>
      <c r="G705" s="70">
        <v>2.625</v>
      </c>
      <c r="H705" s="69">
        <f>PRODUCT($CV$705,$CW$705,$CX$705,$CY$705)</f>
        <v>0.984375</v>
      </c>
      <c r="I705" s="65"/>
      <c r="J705" s="65"/>
      <c r="CW705" s="8">
        <f>(0.375)</f>
        <v>0.375</v>
      </c>
      <c r="CY705" s="8">
        <f>(2.625)</f>
        <v>2.625</v>
      </c>
      <c r="DF705" s="8" t="s">
        <v>514</v>
      </c>
    </row>
    <row r="706" spans="1:110" ht="31.5" outlineLevel="1" x14ac:dyDescent="0.25">
      <c r="C706" s="5" t="s">
        <v>396</v>
      </c>
      <c r="D706" s="70"/>
      <c r="E706" s="70">
        <v>1.45</v>
      </c>
      <c r="F706" s="70"/>
      <c r="G706" s="70">
        <v>2.625</v>
      </c>
      <c r="H706" s="69">
        <f>PRODUCT($CV$706,$CW$706,$CX$706,$CY$706)</f>
        <v>3.8062499999999999</v>
      </c>
      <c r="I706" s="65"/>
      <c r="J706" s="65"/>
      <c r="CW706" s="8">
        <f>(1.45)</f>
        <v>1.45</v>
      </c>
      <c r="CY706" s="8">
        <f>(2.625)</f>
        <v>2.625</v>
      </c>
      <c r="DF706" s="8" t="s">
        <v>514</v>
      </c>
    </row>
    <row r="707" spans="1:110" ht="31.5" outlineLevel="1" x14ac:dyDescent="0.25">
      <c r="C707" s="5" t="s">
        <v>397</v>
      </c>
      <c r="D707" s="70"/>
      <c r="E707" s="70">
        <v>1.45</v>
      </c>
      <c r="F707" s="70"/>
      <c r="G707" s="70">
        <v>2.625</v>
      </c>
      <c r="H707" s="69">
        <f>PRODUCT($CV$707,$CW$707,$CX$707,$CY$707)</f>
        <v>3.8062499999999999</v>
      </c>
      <c r="I707" s="65"/>
      <c r="J707" s="65"/>
      <c r="CW707" s="8">
        <f>(1.45)</f>
        <v>1.45</v>
      </c>
      <c r="CY707" s="8">
        <f>(2.625)</f>
        <v>2.625</v>
      </c>
      <c r="DF707" s="8" t="s">
        <v>514</v>
      </c>
    </row>
    <row r="708" spans="1:110" ht="31.5" outlineLevel="1" x14ac:dyDescent="0.25">
      <c r="C708" s="5" t="s">
        <v>398</v>
      </c>
      <c r="D708" s="70"/>
      <c r="E708" s="70">
        <v>1.45</v>
      </c>
      <c r="F708" s="70"/>
      <c r="G708" s="70">
        <v>2.625</v>
      </c>
      <c r="H708" s="69">
        <f>PRODUCT($CV$708,$CW$708,$CX$708,$CY$708)</f>
        <v>3.8062499999999999</v>
      </c>
      <c r="I708" s="65"/>
      <c r="J708" s="65"/>
      <c r="CW708" s="8">
        <f>(1.45)</f>
        <v>1.45</v>
      </c>
      <c r="CY708" s="8">
        <f>(2.625)</f>
        <v>2.625</v>
      </c>
      <c r="DF708" s="8" t="s">
        <v>514</v>
      </c>
    </row>
    <row r="709" spans="1:110" ht="31.5" outlineLevel="1" x14ac:dyDescent="0.25">
      <c r="C709" s="5" t="s">
        <v>399</v>
      </c>
      <c r="D709" s="70"/>
      <c r="E709" s="70">
        <v>1.45</v>
      </c>
      <c r="F709" s="70"/>
      <c r="G709" s="70">
        <v>2.625</v>
      </c>
      <c r="H709" s="69">
        <f>PRODUCT($CV$709,$CW$709,$CX$709,$CY$709)</f>
        <v>3.8062499999999999</v>
      </c>
      <c r="I709" s="65"/>
      <c r="J709" s="65"/>
      <c r="CW709" s="8">
        <f>(1.45)</f>
        <v>1.45</v>
      </c>
      <c r="CY709" s="8">
        <f>(2.625)</f>
        <v>2.625</v>
      </c>
      <c r="DF709" s="8" t="s">
        <v>514</v>
      </c>
    </row>
    <row r="710" spans="1:110" ht="31.5" outlineLevel="1" x14ac:dyDescent="0.25">
      <c r="C710" s="5" t="s">
        <v>400</v>
      </c>
      <c r="D710" s="70"/>
      <c r="E710" s="70">
        <v>1.45</v>
      </c>
      <c r="F710" s="70"/>
      <c r="G710" s="70">
        <v>2.625</v>
      </c>
      <c r="H710" s="69">
        <f>PRODUCT($CV$710,$CW$710,$CX$710,$CY$710)</f>
        <v>3.8062499999999999</v>
      </c>
      <c r="I710" s="65"/>
      <c r="J710" s="65"/>
      <c r="CW710" s="8">
        <f>(1.45)</f>
        <v>1.45</v>
      </c>
      <c r="CY710" s="8">
        <f>(2.625)</f>
        <v>2.625</v>
      </c>
      <c r="DF710" s="8" t="s">
        <v>514</v>
      </c>
    </row>
    <row r="711" spans="1:110" ht="31.5" outlineLevel="1" x14ac:dyDescent="0.25">
      <c r="C711" s="5" t="s">
        <v>401</v>
      </c>
      <c r="D711" s="70"/>
      <c r="E711" s="70">
        <v>1.45</v>
      </c>
      <c r="F711" s="70"/>
      <c r="G711" s="70">
        <v>2.625</v>
      </c>
      <c r="H711" s="69">
        <f>PRODUCT($CV$711,$CW$711,$CX$711,$CY$711)</f>
        <v>3.8062499999999999</v>
      </c>
      <c r="I711" s="65"/>
      <c r="J711" s="65"/>
      <c r="CW711" s="8">
        <f>(1.45)</f>
        <v>1.45</v>
      </c>
      <c r="CY711" s="8">
        <f>(2.625)</f>
        <v>2.625</v>
      </c>
      <c r="DF711" s="8" t="s">
        <v>514</v>
      </c>
    </row>
    <row r="712" spans="1:110" ht="31.5" outlineLevel="1" x14ac:dyDescent="0.25">
      <c r="C712" s="5" t="s">
        <v>402</v>
      </c>
      <c r="D712" s="70"/>
      <c r="E712" s="70">
        <v>1.45</v>
      </c>
      <c r="F712" s="70"/>
      <c r="G712" s="70">
        <v>2.625</v>
      </c>
      <c r="H712" s="69">
        <f>PRODUCT($CV$712,$CW$712,$CX$712,$CY$712)</f>
        <v>3.8062499999999999</v>
      </c>
      <c r="I712" s="65"/>
      <c r="J712" s="65"/>
      <c r="CW712" s="8">
        <f>(1.45)</f>
        <v>1.45</v>
      </c>
      <c r="CY712" s="8">
        <f>(2.625)</f>
        <v>2.625</v>
      </c>
      <c r="DF712" s="8" t="s">
        <v>514</v>
      </c>
    </row>
    <row r="713" spans="1:110" ht="31.5" outlineLevel="1" x14ac:dyDescent="0.25">
      <c r="C713" s="5" t="s">
        <v>403</v>
      </c>
      <c r="D713" s="70"/>
      <c r="E713" s="70">
        <v>1.45</v>
      </c>
      <c r="F713" s="70"/>
      <c r="G713" s="70">
        <v>2.625</v>
      </c>
      <c r="H713" s="69">
        <f>PRODUCT($CV$713,$CW$713,$CX$713,$CY$713)</f>
        <v>3.8062499999999999</v>
      </c>
      <c r="I713" s="65"/>
      <c r="J713" s="65"/>
      <c r="CW713" s="8">
        <f>(1.45)</f>
        <v>1.45</v>
      </c>
      <c r="CY713" s="8">
        <f>(2.625)</f>
        <v>2.625</v>
      </c>
      <c r="DF713" s="8" t="s">
        <v>514</v>
      </c>
    </row>
    <row r="714" spans="1:110" ht="31.5" outlineLevel="1" x14ac:dyDescent="0.25">
      <c r="C714" s="5" t="s">
        <v>404</v>
      </c>
      <c r="D714" s="70"/>
      <c r="E714" s="70">
        <v>1.45</v>
      </c>
      <c r="F714" s="70"/>
      <c r="G714" s="70">
        <v>2.625</v>
      </c>
      <c r="H714" s="69">
        <f>PRODUCT($CV$714,$CW$714,$CX$714,$CY$714)</f>
        <v>3.8062499999999999</v>
      </c>
      <c r="I714" s="65"/>
      <c r="J714" s="65"/>
      <c r="CW714" s="8">
        <f>(1.45)</f>
        <v>1.45</v>
      </c>
      <c r="CY714" s="8">
        <f>(2.625)</f>
        <v>2.625</v>
      </c>
      <c r="DF714" s="8" t="s">
        <v>514</v>
      </c>
    </row>
    <row r="715" spans="1:110" ht="31.5" outlineLevel="1" x14ac:dyDescent="0.25">
      <c r="C715" s="5" t="s">
        <v>405</v>
      </c>
      <c r="D715" s="70"/>
      <c r="E715" s="70">
        <v>1.45</v>
      </c>
      <c r="F715" s="70"/>
      <c r="G715" s="70">
        <v>2.625</v>
      </c>
      <c r="H715" s="69">
        <f>PRODUCT($CV$715,$CW$715,$CX$715,$CY$715)</f>
        <v>3.8062499999999999</v>
      </c>
      <c r="I715" s="65"/>
      <c r="J715" s="65"/>
      <c r="CW715" s="8">
        <f>(1.45)</f>
        <v>1.45</v>
      </c>
      <c r="CY715" s="8">
        <f>(2.625)</f>
        <v>2.625</v>
      </c>
      <c r="DF715" s="8" t="s">
        <v>514</v>
      </c>
    </row>
    <row r="716" spans="1:110" ht="31.5" outlineLevel="1" x14ac:dyDescent="0.25">
      <c r="C716" s="5" t="s">
        <v>406</v>
      </c>
      <c r="D716" s="70"/>
      <c r="E716" s="70">
        <v>1.45</v>
      </c>
      <c r="F716" s="70"/>
      <c r="G716" s="70">
        <v>2.625</v>
      </c>
      <c r="H716" s="69">
        <f>PRODUCT($CV$716,$CW$716,$CX$716,$CY$716)</f>
        <v>3.8062499999999999</v>
      </c>
      <c r="I716" s="65"/>
      <c r="J716" s="65"/>
      <c r="CW716" s="8">
        <f>(1.45)</f>
        <v>1.45</v>
      </c>
      <c r="CY716" s="8">
        <f>(2.625)</f>
        <v>2.625</v>
      </c>
      <c r="DF716" s="8" t="s">
        <v>514</v>
      </c>
    </row>
    <row r="717" spans="1:110" x14ac:dyDescent="0.25">
      <c r="C717" s="60" t="str">
        <f>CONCATENATE("SOMMANO " &amp; 'Elenco Prezzi'!$C$178)</f>
        <v>SOMMANO m2</v>
      </c>
      <c r="D717" s="70"/>
      <c r="E717" s="70"/>
      <c r="F717" s="70"/>
      <c r="G717" s="70"/>
      <c r="H717" s="69">
        <f>SUM($H$705:$H$716)</f>
        <v>42.853124999999991</v>
      </c>
      <c r="I717" s="65">
        <f>('Elenco Prezzi'!$D$178)</f>
        <v>220</v>
      </c>
      <c r="J717" s="65">
        <f>PRODUCT($H$717,$I$717)</f>
        <v>9427.6874999999982</v>
      </c>
      <c r="DF717" s="8" t="s">
        <v>514</v>
      </c>
    </row>
    <row r="718" spans="1:110" ht="31.5" x14ac:dyDescent="0.25">
      <c r="A718" s="3">
        <v>92</v>
      </c>
      <c r="B718" s="56" t="str">
        <f>('Elenco Prezzi'!$A$178)</f>
        <v>850.001</v>
      </c>
      <c r="C718" s="23" t="str">
        <f>('Elenco Prezzi'!$B$178)</f>
        <v>Pannello in vetro per facciata continua</v>
      </c>
      <c r="D718" s="70"/>
      <c r="E718" s="70"/>
      <c r="F718" s="70"/>
      <c r="G718" s="70"/>
      <c r="H718" s="69"/>
      <c r="I718" s="65"/>
      <c r="J718" s="65"/>
      <c r="K718" s="58" t="s">
        <v>231</v>
      </c>
      <c r="L718" s="58" t="s">
        <v>232</v>
      </c>
      <c r="M718" s="58" t="s">
        <v>232</v>
      </c>
      <c r="N718" s="58" t="s">
        <v>234</v>
      </c>
      <c r="DF718" s="8" t="s">
        <v>514</v>
      </c>
    </row>
    <row r="719" spans="1:110" hidden="1" outlineLevel="1" x14ac:dyDescent="0.25">
      <c r="C719" s="57" t="str">
        <f>('Elenco Prezzi'!$B$179)</f>
        <v>Pannello in vetro per facciata continua</v>
      </c>
      <c r="D719" s="70"/>
      <c r="E719" s="70"/>
      <c r="F719" s="70"/>
      <c r="G719" s="70"/>
      <c r="H719" s="69"/>
      <c r="I719" s="65"/>
      <c r="J719" s="65"/>
      <c r="DF719" s="8" t="s">
        <v>514</v>
      </c>
    </row>
    <row r="720" spans="1:110" hidden="1" outlineLevel="1" x14ac:dyDescent="0.25">
      <c r="C720" s="57" t="str">
        <f>('Elenco Prezzi'!$B$180)</f>
        <v>Pannello in vetro per facciata continua</v>
      </c>
      <c r="D720" s="70"/>
      <c r="E720" s="70"/>
      <c r="F720" s="70"/>
      <c r="G720" s="70"/>
      <c r="H720" s="69"/>
      <c r="I720" s="65"/>
      <c r="J720" s="65"/>
      <c r="DF720" s="8" t="s">
        <v>514</v>
      </c>
    </row>
    <row r="721" spans="3:110" outlineLevel="1" x14ac:dyDescent="0.25">
      <c r="C721" s="59" t="s">
        <v>235</v>
      </c>
      <c r="D721" s="70"/>
      <c r="E721" s="70"/>
      <c r="F721" s="70"/>
      <c r="G721" s="70"/>
      <c r="H721" s="69"/>
      <c r="I721" s="65"/>
      <c r="J721" s="65"/>
      <c r="DF721" s="8" t="s">
        <v>514</v>
      </c>
    </row>
    <row r="722" spans="3:110" ht="31.5" outlineLevel="1" x14ac:dyDescent="0.25">
      <c r="C722" s="5" t="s">
        <v>407</v>
      </c>
      <c r="D722" s="70"/>
      <c r="E722" s="70">
        <v>1.45</v>
      </c>
      <c r="F722" s="70"/>
      <c r="G722" s="70">
        <v>2.625</v>
      </c>
      <c r="H722" s="69">
        <f>PRODUCT($CV$722,$CW$722,$CX$722,$CY$722)</f>
        <v>3.8062499999999999</v>
      </c>
      <c r="I722" s="65"/>
      <c r="J722" s="65"/>
      <c r="CW722" s="8">
        <f>(1.45)</f>
        <v>1.45</v>
      </c>
      <c r="CY722" s="8">
        <f>(2.625)</f>
        <v>2.625</v>
      </c>
      <c r="DF722" s="8" t="s">
        <v>514</v>
      </c>
    </row>
    <row r="723" spans="3:110" ht="31.5" outlineLevel="1" x14ac:dyDescent="0.25">
      <c r="C723" s="5" t="s">
        <v>408</v>
      </c>
      <c r="D723" s="70"/>
      <c r="E723" s="70">
        <v>1.45</v>
      </c>
      <c r="F723" s="70"/>
      <c r="G723" s="70">
        <v>2.625</v>
      </c>
      <c r="H723" s="69">
        <f>PRODUCT($CV$723,$CW$723,$CX$723,$CY$723)</f>
        <v>3.8062499999999999</v>
      </c>
      <c r="I723" s="65"/>
      <c r="J723" s="65"/>
      <c r="CW723" s="8">
        <f>(1.45)</f>
        <v>1.45</v>
      </c>
      <c r="CY723" s="8">
        <f>(2.625)</f>
        <v>2.625</v>
      </c>
      <c r="DF723" s="8" t="s">
        <v>514</v>
      </c>
    </row>
    <row r="724" spans="3:110" ht="31.5" outlineLevel="1" x14ac:dyDescent="0.25">
      <c r="C724" s="5" t="s">
        <v>409</v>
      </c>
      <c r="D724" s="70"/>
      <c r="E724" s="70">
        <v>1.45</v>
      </c>
      <c r="F724" s="70"/>
      <c r="G724" s="70">
        <v>2.625</v>
      </c>
      <c r="H724" s="69">
        <f>PRODUCT($CV$724,$CW$724,$CX$724,$CY$724)</f>
        <v>3.8062499999999999</v>
      </c>
      <c r="I724" s="65"/>
      <c r="J724" s="65"/>
      <c r="CW724" s="8">
        <f>(1.45)</f>
        <v>1.45</v>
      </c>
      <c r="CY724" s="8">
        <f>(2.625)</f>
        <v>2.625</v>
      </c>
      <c r="DF724" s="8" t="s">
        <v>514</v>
      </c>
    </row>
    <row r="725" spans="3:110" ht="31.5" outlineLevel="1" x14ac:dyDescent="0.25">
      <c r="C725" s="5" t="s">
        <v>410</v>
      </c>
      <c r="D725" s="70"/>
      <c r="E725" s="70">
        <v>1.45</v>
      </c>
      <c r="F725" s="70"/>
      <c r="G725" s="70">
        <v>2.625</v>
      </c>
      <c r="H725" s="69">
        <f>PRODUCT($CV$725,$CW$725,$CX$725,$CY$725)</f>
        <v>3.8062499999999999</v>
      </c>
      <c r="I725" s="65"/>
      <c r="J725" s="65"/>
      <c r="CW725" s="8">
        <f>(1.45)</f>
        <v>1.45</v>
      </c>
      <c r="CY725" s="8">
        <f>(2.625)</f>
        <v>2.625</v>
      </c>
      <c r="DF725" s="8" t="s">
        <v>514</v>
      </c>
    </row>
    <row r="726" spans="3:110" ht="31.5" outlineLevel="1" x14ac:dyDescent="0.25">
      <c r="C726" s="5" t="s">
        <v>411</v>
      </c>
      <c r="D726" s="70"/>
      <c r="E726" s="70">
        <v>1.45</v>
      </c>
      <c r="F726" s="70"/>
      <c r="G726" s="70">
        <v>2.625</v>
      </c>
      <c r="H726" s="69">
        <f>PRODUCT($CV$726,$CW$726,$CX$726,$CY$726)</f>
        <v>3.8062499999999999</v>
      </c>
      <c r="I726" s="65"/>
      <c r="J726" s="65"/>
      <c r="CW726" s="8">
        <f>(1.45)</f>
        <v>1.45</v>
      </c>
      <c r="CY726" s="8">
        <f>(2.625)</f>
        <v>2.625</v>
      </c>
      <c r="DF726" s="8" t="s">
        <v>514</v>
      </c>
    </row>
    <row r="727" spans="3:110" ht="31.5" outlineLevel="1" x14ac:dyDescent="0.25">
      <c r="C727" s="5" t="s">
        <v>412</v>
      </c>
      <c r="D727" s="70"/>
      <c r="E727" s="70">
        <v>1.45</v>
      </c>
      <c r="F727" s="70"/>
      <c r="G727" s="70">
        <v>2.625</v>
      </c>
      <c r="H727" s="69">
        <f>PRODUCT($CV$727,$CW$727,$CX$727,$CY$727)</f>
        <v>3.8062499999999999</v>
      </c>
      <c r="I727" s="65"/>
      <c r="J727" s="65"/>
      <c r="CW727" s="8">
        <f>(1.45)</f>
        <v>1.45</v>
      </c>
      <c r="CY727" s="8">
        <f>(2.625)</f>
        <v>2.625</v>
      </c>
      <c r="DF727" s="8" t="s">
        <v>514</v>
      </c>
    </row>
    <row r="728" spans="3:110" ht="31.5" outlineLevel="1" x14ac:dyDescent="0.25">
      <c r="C728" s="5" t="s">
        <v>413</v>
      </c>
      <c r="D728" s="70"/>
      <c r="E728" s="70">
        <v>1.45</v>
      </c>
      <c r="F728" s="70"/>
      <c r="G728" s="70">
        <v>2.625</v>
      </c>
      <c r="H728" s="69">
        <f>PRODUCT($CV$728,$CW$728,$CX$728,$CY$728)</f>
        <v>3.8062499999999999</v>
      </c>
      <c r="I728" s="65"/>
      <c r="J728" s="65"/>
      <c r="CW728" s="8">
        <f>(1.45)</f>
        <v>1.45</v>
      </c>
      <c r="CY728" s="8">
        <f>(2.625)</f>
        <v>2.625</v>
      </c>
      <c r="DF728" s="8" t="s">
        <v>514</v>
      </c>
    </row>
    <row r="729" spans="3:110" ht="31.5" outlineLevel="1" x14ac:dyDescent="0.25">
      <c r="C729" s="5" t="s">
        <v>414</v>
      </c>
      <c r="D729" s="70"/>
      <c r="E729" s="70">
        <v>1.45</v>
      </c>
      <c r="F729" s="70"/>
      <c r="G729" s="70">
        <v>2.625</v>
      </c>
      <c r="H729" s="69">
        <f>PRODUCT($CV$729,$CW$729,$CX$729,$CY$729)</f>
        <v>3.8062499999999999</v>
      </c>
      <c r="I729" s="65"/>
      <c r="J729" s="65"/>
      <c r="CW729" s="8">
        <f>(1.45)</f>
        <v>1.45</v>
      </c>
      <c r="CY729" s="8">
        <f>(2.625)</f>
        <v>2.625</v>
      </c>
      <c r="DF729" s="8" t="s">
        <v>514</v>
      </c>
    </row>
    <row r="730" spans="3:110" ht="31.5" outlineLevel="1" x14ac:dyDescent="0.25">
      <c r="C730" s="5" t="s">
        <v>415</v>
      </c>
      <c r="D730" s="70"/>
      <c r="E730" s="70">
        <v>1.45</v>
      </c>
      <c r="F730" s="70"/>
      <c r="G730" s="70">
        <v>0.52</v>
      </c>
      <c r="H730" s="69">
        <f>PRODUCT($CV$730,$CW$730,$CX$730,$CY$730)</f>
        <v>0.754</v>
      </c>
      <c r="I730" s="65"/>
      <c r="J730" s="65"/>
      <c r="CW730" s="8">
        <f>(1.45)</f>
        <v>1.45</v>
      </c>
      <c r="CY730" s="8">
        <f>(0.52)</f>
        <v>0.52</v>
      </c>
      <c r="DF730" s="8" t="s">
        <v>514</v>
      </c>
    </row>
    <row r="731" spans="3:110" ht="31.5" outlineLevel="1" x14ac:dyDescent="0.25">
      <c r="C731" s="5" t="s">
        <v>416</v>
      </c>
      <c r="D731" s="70"/>
      <c r="E731" s="70">
        <v>1.4750000000000001</v>
      </c>
      <c r="F731" s="70"/>
      <c r="G731" s="70">
        <v>2.6549999999999998</v>
      </c>
      <c r="H731" s="69">
        <f>PRODUCT($CV$731,$CW$731,$CX$731,$CY$731)</f>
        <v>3.9161250000000001</v>
      </c>
      <c r="I731" s="65"/>
      <c r="J731" s="65"/>
      <c r="CW731" s="8">
        <f>(1.475)</f>
        <v>1.4750000000000001</v>
      </c>
      <c r="CY731" s="8">
        <f>(2.655)</f>
        <v>2.6549999999999998</v>
      </c>
      <c r="DF731" s="8" t="s">
        <v>514</v>
      </c>
    </row>
    <row r="732" spans="3:110" ht="31.5" outlineLevel="1" x14ac:dyDescent="0.25">
      <c r="C732" s="5" t="s">
        <v>417</v>
      </c>
      <c r="D732" s="70"/>
      <c r="E732" s="70">
        <v>0.9</v>
      </c>
      <c r="F732" s="70"/>
      <c r="G732" s="70">
        <v>2.625</v>
      </c>
      <c r="H732" s="69">
        <f>PRODUCT($CV$732,$CW$732,$CX$732,$CY$732)</f>
        <v>2.3625000000000003</v>
      </c>
      <c r="I732" s="65"/>
      <c r="J732" s="65"/>
      <c r="CW732" s="8">
        <f>(0.9)</f>
        <v>0.9</v>
      </c>
      <c r="CY732" s="8">
        <f>(2.625)</f>
        <v>2.625</v>
      </c>
      <c r="DF732" s="8" t="s">
        <v>514</v>
      </c>
    </row>
    <row r="733" spans="3:110" ht="31.5" outlineLevel="1" x14ac:dyDescent="0.25">
      <c r="C733" s="5" t="s">
        <v>418</v>
      </c>
      <c r="D733" s="70"/>
      <c r="E733" s="70">
        <v>1.4750000000000001</v>
      </c>
      <c r="F733" s="70"/>
      <c r="G733" s="70">
        <v>1.1299999999999999</v>
      </c>
      <c r="H733" s="69">
        <f>PRODUCT($CV$733,$CW$733,$CX$733,$CY$733)</f>
        <v>1.66675</v>
      </c>
      <c r="I733" s="65"/>
      <c r="J733" s="65"/>
      <c r="CW733" s="8">
        <f>(1.475)</f>
        <v>1.4750000000000001</v>
      </c>
      <c r="CY733" s="8">
        <f>(1.13)</f>
        <v>1.1299999999999999</v>
      </c>
      <c r="DF733" s="8" t="s">
        <v>514</v>
      </c>
    </row>
    <row r="734" spans="3:110" ht="31.5" outlineLevel="1" x14ac:dyDescent="0.25">
      <c r="C734" s="5" t="s">
        <v>419</v>
      </c>
      <c r="D734" s="70"/>
      <c r="E734" s="70">
        <v>1.45</v>
      </c>
      <c r="F734" s="70"/>
      <c r="G734" s="70">
        <v>0.56000000000000005</v>
      </c>
      <c r="H734" s="69">
        <f>PRODUCT($CV$734,$CW$734,$CX$734,$CY$734)</f>
        <v>0.81200000000000006</v>
      </c>
      <c r="I734" s="65"/>
      <c r="J734" s="65"/>
      <c r="CW734" s="8">
        <f>(1.45)</f>
        <v>1.45</v>
      </c>
      <c r="CY734" s="8">
        <f>(0.56)</f>
        <v>0.56000000000000005</v>
      </c>
      <c r="DF734" s="8" t="s">
        <v>514</v>
      </c>
    </row>
    <row r="735" spans="3:110" ht="31.5" outlineLevel="1" x14ac:dyDescent="0.25">
      <c r="C735" s="5" t="s">
        <v>420</v>
      </c>
      <c r="D735" s="70"/>
      <c r="E735" s="70">
        <v>0.66900000000000004</v>
      </c>
      <c r="F735" s="70"/>
      <c r="G735" s="70">
        <v>1.1299999999999999</v>
      </c>
      <c r="H735" s="69">
        <f>PRODUCT($CV$735,$CW$735,$CX$735,$CY$735)</f>
        <v>0.75596999999999992</v>
      </c>
      <c r="I735" s="65"/>
      <c r="J735" s="65"/>
      <c r="CW735" s="8">
        <f>(0.669)</f>
        <v>0.66900000000000004</v>
      </c>
      <c r="CY735" s="8">
        <f>(1.13)</f>
        <v>1.1299999999999999</v>
      </c>
      <c r="DF735" s="8" t="s">
        <v>514</v>
      </c>
    </row>
    <row r="736" spans="3:110" ht="31.5" outlineLevel="1" x14ac:dyDescent="0.25">
      <c r="C736" s="5" t="s">
        <v>421</v>
      </c>
      <c r="D736" s="70"/>
      <c r="E736" s="70">
        <v>1.45</v>
      </c>
      <c r="F736" s="70"/>
      <c r="G736" s="70">
        <v>0.52</v>
      </c>
      <c r="H736" s="69">
        <f>PRODUCT($CV$736,$CW$736,$CX$736,$CY$736)</f>
        <v>0.754</v>
      </c>
      <c r="I736" s="65"/>
      <c r="J736" s="65"/>
      <c r="CW736" s="8">
        <f>(1.45)</f>
        <v>1.45</v>
      </c>
      <c r="CY736" s="8">
        <f>(0.52)</f>
        <v>0.52</v>
      </c>
      <c r="DF736" s="8" t="s">
        <v>514</v>
      </c>
    </row>
    <row r="737" spans="1:110" ht="31.5" outlineLevel="1" x14ac:dyDescent="0.25">
      <c r="C737" s="5" t="s">
        <v>422</v>
      </c>
      <c r="D737" s="70"/>
      <c r="E737" s="70">
        <v>1.45</v>
      </c>
      <c r="F737" s="70"/>
      <c r="G737" s="70">
        <v>2.625</v>
      </c>
      <c r="H737" s="69">
        <f>PRODUCT($CV$737,$CW$737,$CX$737,$CY$737)</f>
        <v>3.8062499999999999</v>
      </c>
      <c r="I737" s="65"/>
      <c r="J737" s="65"/>
      <c r="CW737" s="8">
        <f>(1.45)</f>
        <v>1.45</v>
      </c>
      <c r="CY737" s="8">
        <f>(2.625)</f>
        <v>2.625</v>
      </c>
      <c r="DF737" s="8" t="s">
        <v>514</v>
      </c>
    </row>
    <row r="738" spans="1:110" ht="31.5" outlineLevel="1" x14ac:dyDescent="0.25">
      <c r="C738" s="5" t="s">
        <v>423</v>
      </c>
      <c r="D738" s="70"/>
      <c r="E738" s="70">
        <v>1.45</v>
      </c>
      <c r="F738" s="70"/>
      <c r="G738" s="70">
        <v>2.625</v>
      </c>
      <c r="H738" s="69">
        <f>PRODUCT($CV$738,$CW$738,$CX$738,$CY$738)</f>
        <v>3.8062499999999999</v>
      </c>
      <c r="I738" s="65"/>
      <c r="J738" s="65"/>
      <c r="CW738" s="8">
        <f>(1.45)</f>
        <v>1.45</v>
      </c>
      <c r="CY738" s="8">
        <f>(2.625)</f>
        <v>2.625</v>
      </c>
      <c r="DF738" s="8" t="s">
        <v>514</v>
      </c>
    </row>
    <row r="739" spans="1:110" ht="31.5" outlineLevel="1" x14ac:dyDescent="0.25">
      <c r="C739" s="5" t="s">
        <v>424</v>
      </c>
      <c r="D739" s="70"/>
      <c r="E739" s="70">
        <v>1.45</v>
      </c>
      <c r="F739" s="70"/>
      <c r="G739" s="70">
        <v>2.625</v>
      </c>
      <c r="H739" s="69">
        <f>PRODUCT($CV$739,$CW$739,$CX$739,$CY$739)</f>
        <v>3.8062499999999999</v>
      </c>
      <c r="I739" s="65"/>
      <c r="J739" s="65"/>
      <c r="CW739" s="8">
        <f>(1.45)</f>
        <v>1.45</v>
      </c>
      <c r="CY739" s="8">
        <f>(2.625)</f>
        <v>2.625</v>
      </c>
      <c r="DF739" s="8" t="s">
        <v>514</v>
      </c>
    </row>
    <row r="740" spans="1:110" ht="31.5" outlineLevel="1" x14ac:dyDescent="0.25">
      <c r="C740" s="5" t="s">
        <v>425</v>
      </c>
      <c r="D740" s="70"/>
      <c r="E740" s="70">
        <v>1.4750000000000001</v>
      </c>
      <c r="F740" s="70"/>
      <c r="G740" s="70">
        <v>1.4750000000000001</v>
      </c>
      <c r="H740" s="69">
        <f>PRODUCT($CV$740,$CW$740,$CX$740,$CY$740)</f>
        <v>2.1756250000000001</v>
      </c>
      <c r="I740" s="65"/>
      <c r="J740" s="65"/>
      <c r="CW740" s="8">
        <f>(1.475)</f>
        <v>1.4750000000000001</v>
      </c>
      <c r="CY740" s="8">
        <f>(1.475)</f>
        <v>1.4750000000000001</v>
      </c>
      <c r="DF740" s="8" t="s">
        <v>514</v>
      </c>
    </row>
    <row r="741" spans="1:110" ht="31.5" outlineLevel="1" x14ac:dyDescent="0.25">
      <c r="C741" s="5" t="s">
        <v>426</v>
      </c>
      <c r="D741" s="70"/>
      <c r="E741" s="70">
        <v>1.45</v>
      </c>
      <c r="F741" s="70"/>
      <c r="G741" s="70">
        <v>2.625</v>
      </c>
      <c r="H741" s="69">
        <f>PRODUCT($CV$741,$CW$741,$CX$741,$CY$741)</f>
        <v>3.8062499999999999</v>
      </c>
      <c r="I741" s="65"/>
      <c r="J741" s="65"/>
      <c r="CW741" s="8">
        <f>(1.45)</f>
        <v>1.45</v>
      </c>
      <c r="CY741" s="8">
        <f>(2.625)</f>
        <v>2.625</v>
      </c>
      <c r="DF741" s="8" t="s">
        <v>514</v>
      </c>
    </row>
    <row r="742" spans="1:110" ht="31.5" outlineLevel="1" x14ac:dyDescent="0.25">
      <c r="C742" s="5" t="s">
        <v>427</v>
      </c>
      <c r="D742" s="70"/>
      <c r="E742" s="70">
        <v>0.52500000000000002</v>
      </c>
      <c r="F742" s="70"/>
      <c r="G742" s="70">
        <v>2.625</v>
      </c>
      <c r="H742" s="69">
        <f>PRODUCT($CV$742,$CW$742,$CX$742,$CY$742)</f>
        <v>1.378125</v>
      </c>
      <c r="I742" s="65"/>
      <c r="J742" s="65"/>
      <c r="CW742" s="8">
        <f>(0.525)</f>
        <v>0.52500000000000002</v>
      </c>
      <c r="CY742" s="8">
        <f>(2.625)</f>
        <v>2.625</v>
      </c>
      <c r="DF742" s="8" t="s">
        <v>514</v>
      </c>
    </row>
    <row r="743" spans="1:110" ht="31.5" outlineLevel="1" x14ac:dyDescent="0.25">
      <c r="C743" s="5" t="s">
        <v>428</v>
      </c>
      <c r="D743" s="70"/>
      <c r="E743" s="70">
        <v>0.66900000000000004</v>
      </c>
      <c r="F743" s="70"/>
      <c r="G743" s="70">
        <v>1.4750000000000001</v>
      </c>
      <c r="H743" s="69">
        <f>PRODUCT($CV$743,$CW$743,$CX$743,$CY$743)</f>
        <v>0.98677500000000007</v>
      </c>
      <c r="I743" s="65"/>
      <c r="J743" s="65"/>
      <c r="CW743" s="8">
        <f>(0.669)</f>
        <v>0.66900000000000004</v>
      </c>
      <c r="CY743" s="8">
        <f>(1.475)</f>
        <v>1.4750000000000001</v>
      </c>
      <c r="DF743" s="8" t="s">
        <v>514</v>
      </c>
    </row>
    <row r="744" spans="1:110" ht="31.5" outlineLevel="1" x14ac:dyDescent="0.25">
      <c r="C744" s="5" t="s">
        <v>429</v>
      </c>
      <c r="D744" s="70"/>
      <c r="E744" s="70">
        <v>0.66900000000000004</v>
      </c>
      <c r="F744" s="70"/>
      <c r="G744" s="70">
        <v>2.6549999999999998</v>
      </c>
      <c r="H744" s="69">
        <f>PRODUCT($CV$744,$CW$744,$CX$744,$CY$744)</f>
        <v>1.776195</v>
      </c>
      <c r="I744" s="65"/>
      <c r="J744" s="65"/>
      <c r="CW744" s="8">
        <f>(0.669)</f>
        <v>0.66900000000000004</v>
      </c>
      <c r="CY744" s="8">
        <f>(2.655)</f>
        <v>2.6549999999999998</v>
      </c>
      <c r="DF744" s="8" t="s">
        <v>514</v>
      </c>
    </row>
    <row r="745" spans="1:110" ht="31.5" outlineLevel="1" x14ac:dyDescent="0.25">
      <c r="C745" s="5" t="s">
        <v>430</v>
      </c>
      <c r="D745" s="70"/>
      <c r="E745" s="70">
        <v>1.45</v>
      </c>
      <c r="F745" s="70"/>
      <c r="G745" s="70">
        <v>2.625</v>
      </c>
      <c r="H745" s="69">
        <f>PRODUCT($CV$745,$CW$745,$CX$745,$CY$745)</f>
        <v>3.8062499999999999</v>
      </c>
      <c r="I745" s="65"/>
      <c r="J745" s="65"/>
      <c r="CW745" s="8">
        <f>(1.45)</f>
        <v>1.45</v>
      </c>
      <c r="CY745" s="8">
        <f>(2.625)</f>
        <v>2.625</v>
      </c>
      <c r="DF745" s="8" t="s">
        <v>514</v>
      </c>
    </row>
    <row r="746" spans="1:110" x14ac:dyDescent="0.25">
      <c r="C746" s="60" t="str">
        <f>CONCATENATE("SOMMANO " &amp; 'Elenco Prezzi'!$C$178)</f>
        <v>SOMMANO m2</v>
      </c>
      <c r="D746" s="70"/>
      <c r="E746" s="70"/>
      <c r="F746" s="70"/>
      <c r="G746" s="70"/>
      <c r="H746" s="69">
        <f>SUM($H$722:$H$745)</f>
        <v>66.819314999999989</v>
      </c>
      <c r="I746" s="65">
        <f>('Elenco Prezzi'!$D$178)</f>
        <v>220</v>
      </c>
      <c r="J746" s="65">
        <f>PRODUCT($H$746,$I$746)</f>
        <v>14700.249299999998</v>
      </c>
      <c r="DF746" s="8" t="s">
        <v>514</v>
      </c>
    </row>
    <row r="747" spans="1:110" ht="31.5" x14ac:dyDescent="0.25">
      <c r="A747" s="3">
        <v>93</v>
      </c>
      <c r="B747" s="56" t="str">
        <f>('Elenco Prezzi'!$A$181)</f>
        <v>860.001</v>
      </c>
      <c r="C747" s="23" t="str">
        <f>('Elenco Prezzi'!$B$181)</f>
        <v>Montaggio struttura invetriata facciata continua</v>
      </c>
      <c r="D747" s="70"/>
      <c r="E747" s="70"/>
      <c r="F747" s="70"/>
      <c r="G747" s="70"/>
      <c r="H747" s="69"/>
      <c r="I747" s="65"/>
      <c r="J747" s="65"/>
      <c r="K747" s="58" t="s">
        <v>239</v>
      </c>
      <c r="L747" s="58" t="s">
        <v>232</v>
      </c>
      <c r="M747" s="58" t="s">
        <v>232</v>
      </c>
      <c r="N747" s="58" t="s">
        <v>234</v>
      </c>
      <c r="DF747" s="8" t="s">
        <v>514</v>
      </c>
    </row>
    <row r="748" spans="1:110" hidden="1" outlineLevel="1" x14ac:dyDescent="0.25">
      <c r="C748" s="57" t="str">
        <f>('Elenco Prezzi'!$B$182)</f>
        <v>Montaggio struttura invetriata facciata continua</v>
      </c>
      <c r="D748" s="70"/>
      <c r="E748" s="70"/>
      <c r="F748" s="70"/>
      <c r="G748" s="70"/>
      <c r="H748" s="69"/>
      <c r="I748" s="65"/>
      <c r="J748" s="65"/>
      <c r="DF748" s="8" t="s">
        <v>514</v>
      </c>
    </row>
    <row r="749" spans="1:110" hidden="1" outlineLevel="1" x14ac:dyDescent="0.25">
      <c r="C749" s="57" t="str">
        <f>('Elenco Prezzi'!$B$183)</f>
        <v>Montaggio struttura invetriata facciata continua</v>
      </c>
      <c r="D749" s="70"/>
      <c r="E749" s="70"/>
      <c r="F749" s="70"/>
      <c r="G749" s="70"/>
      <c r="H749" s="69"/>
      <c r="I749" s="65"/>
      <c r="J749" s="65"/>
      <c r="DF749" s="8" t="s">
        <v>514</v>
      </c>
    </row>
    <row r="750" spans="1:110" outlineLevel="1" x14ac:dyDescent="0.25">
      <c r="C750" s="59" t="s">
        <v>235</v>
      </c>
      <c r="D750" s="70"/>
      <c r="E750" s="70"/>
      <c r="F750" s="70"/>
      <c r="G750" s="70"/>
      <c r="H750" s="69"/>
      <c r="I750" s="65"/>
      <c r="J750" s="65"/>
      <c r="DF750" s="8" t="s">
        <v>514</v>
      </c>
    </row>
    <row r="751" spans="1:110" outlineLevel="1" x14ac:dyDescent="0.25">
      <c r="C751" s="5" t="s">
        <v>431</v>
      </c>
      <c r="D751" s="70"/>
      <c r="E751" s="70">
        <v>19.975000000000001</v>
      </c>
      <c r="F751" s="70"/>
      <c r="G751" s="70">
        <v>3.6</v>
      </c>
      <c r="H751" s="69">
        <f>PRODUCT($CV$751,$CW$751,$CX$751,$CY$751)</f>
        <v>71.910000000000011</v>
      </c>
      <c r="I751" s="65"/>
      <c r="J751" s="65"/>
      <c r="CW751" s="8">
        <f>(19.975)</f>
        <v>19.975000000000001</v>
      </c>
      <c r="CY751" s="8">
        <f>(3.6)</f>
        <v>3.6</v>
      </c>
      <c r="DF751" s="8" t="s">
        <v>514</v>
      </c>
    </row>
    <row r="752" spans="1:110" x14ac:dyDescent="0.25">
      <c r="C752" s="60" t="str">
        <f>CONCATENATE("SOMMANO " &amp; 'Elenco Prezzi'!$C$181)</f>
        <v>SOMMANO m2</v>
      </c>
      <c r="D752" s="70"/>
      <c r="E752" s="70"/>
      <c r="F752" s="70"/>
      <c r="G752" s="70"/>
      <c r="H752" s="69">
        <f>SUM($H$751:$H$751)</f>
        <v>71.910000000000011</v>
      </c>
      <c r="I752" s="65">
        <f>('Elenco Prezzi'!$D$181)</f>
        <v>185</v>
      </c>
      <c r="J752" s="65">
        <f>PRODUCT($H$752,$I$752)</f>
        <v>13303.350000000002</v>
      </c>
      <c r="DF752" s="8" t="s">
        <v>514</v>
      </c>
    </row>
    <row r="753" spans="1:110" ht="31.5" x14ac:dyDescent="0.25">
      <c r="A753" s="3">
        <v>94</v>
      </c>
      <c r="B753" s="56" t="str">
        <f>('Elenco Prezzi'!$A$181)</f>
        <v>860.001</v>
      </c>
      <c r="C753" s="23" t="str">
        <f>('Elenco Prezzi'!$B$181)</f>
        <v>Montaggio struttura invetriata facciata continua</v>
      </c>
      <c r="D753" s="70"/>
      <c r="E753" s="70"/>
      <c r="F753" s="70"/>
      <c r="G753" s="70"/>
      <c r="H753" s="69"/>
      <c r="I753" s="65"/>
      <c r="J753" s="65"/>
      <c r="K753" s="58" t="s">
        <v>231</v>
      </c>
      <c r="L753" s="58" t="s">
        <v>232</v>
      </c>
      <c r="M753" s="58" t="s">
        <v>232</v>
      </c>
      <c r="N753" s="58" t="s">
        <v>234</v>
      </c>
      <c r="DF753" s="8" t="s">
        <v>514</v>
      </c>
    </row>
    <row r="754" spans="1:110" hidden="1" outlineLevel="1" x14ac:dyDescent="0.25">
      <c r="C754" s="57" t="str">
        <f>('Elenco Prezzi'!$B$182)</f>
        <v>Montaggio struttura invetriata facciata continua</v>
      </c>
      <c r="D754" s="70"/>
      <c r="E754" s="70"/>
      <c r="F754" s="70"/>
      <c r="G754" s="70"/>
      <c r="H754" s="69"/>
      <c r="I754" s="65"/>
      <c r="J754" s="65"/>
      <c r="DF754" s="8" t="s">
        <v>514</v>
      </c>
    </row>
    <row r="755" spans="1:110" hidden="1" outlineLevel="1" x14ac:dyDescent="0.25">
      <c r="C755" s="57" t="str">
        <f>('Elenco Prezzi'!$B$183)</f>
        <v>Montaggio struttura invetriata facciata continua</v>
      </c>
      <c r="D755" s="70"/>
      <c r="E755" s="70"/>
      <c r="F755" s="70"/>
      <c r="G755" s="70"/>
      <c r="H755" s="69"/>
      <c r="I755" s="65"/>
      <c r="J755" s="65"/>
      <c r="DF755" s="8" t="s">
        <v>514</v>
      </c>
    </row>
    <row r="756" spans="1:110" outlineLevel="1" x14ac:dyDescent="0.25">
      <c r="C756" s="59" t="s">
        <v>235</v>
      </c>
      <c r="D756" s="70"/>
      <c r="E756" s="70"/>
      <c r="F756" s="70"/>
      <c r="G756" s="70"/>
      <c r="H756" s="69"/>
      <c r="I756" s="65"/>
      <c r="J756" s="65"/>
      <c r="DF756" s="8" t="s">
        <v>514</v>
      </c>
    </row>
    <row r="757" spans="1:110" outlineLevel="1" x14ac:dyDescent="0.25">
      <c r="C757" s="5" t="s">
        <v>432</v>
      </c>
      <c r="D757" s="70"/>
      <c r="E757" s="70">
        <v>3.8290000000000002</v>
      </c>
      <c r="F757" s="70"/>
      <c r="G757" s="70">
        <v>3.6</v>
      </c>
      <c r="H757" s="69">
        <f>PRODUCT($CV$757,$CW$757,$CX$757,$CY$757)</f>
        <v>13.784400000000002</v>
      </c>
      <c r="I757" s="65"/>
      <c r="J757" s="65"/>
      <c r="CW757" s="8">
        <f>(3.829)</f>
        <v>3.8290000000000002</v>
      </c>
      <c r="CY757" s="8">
        <f>(3.6)</f>
        <v>3.6</v>
      </c>
      <c r="DF757" s="8" t="s">
        <v>514</v>
      </c>
    </row>
    <row r="758" spans="1:110" outlineLevel="1" x14ac:dyDescent="0.25">
      <c r="C758" s="5" t="s">
        <v>433</v>
      </c>
      <c r="D758" s="70"/>
      <c r="E758" s="70">
        <v>3.694</v>
      </c>
      <c r="F758" s="70"/>
      <c r="G758" s="70">
        <v>3.6</v>
      </c>
      <c r="H758" s="69">
        <f>PRODUCT($CV$758,$CW$758,$CX$758,$CY$758)</f>
        <v>13.298400000000001</v>
      </c>
      <c r="I758" s="65"/>
      <c r="J758" s="65"/>
      <c r="CW758" s="8">
        <f>(3.694)</f>
        <v>3.694</v>
      </c>
      <c r="CY758" s="8">
        <f>(3.6)</f>
        <v>3.6</v>
      </c>
      <c r="DF758" s="8" t="s">
        <v>514</v>
      </c>
    </row>
    <row r="759" spans="1:110" outlineLevel="1" x14ac:dyDescent="0.25">
      <c r="C759" s="5" t="s">
        <v>434</v>
      </c>
      <c r="D759" s="70"/>
      <c r="E759" s="70">
        <v>21.1</v>
      </c>
      <c r="F759" s="70"/>
      <c r="G759" s="70">
        <v>3.6</v>
      </c>
      <c r="H759" s="69">
        <f>PRODUCT($CV$759,$CW$759,$CX$759,$CY$759)</f>
        <v>75.960000000000008</v>
      </c>
      <c r="I759" s="65"/>
      <c r="J759" s="65"/>
      <c r="CW759" s="8">
        <f>(21.1)</f>
        <v>21.1</v>
      </c>
      <c r="CY759" s="8">
        <f>(3.6)</f>
        <v>3.6</v>
      </c>
      <c r="DF759" s="8" t="s">
        <v>514</v>
      </c>
    </row>
    <row r="760" spans="1:110" x14ac:dyDescent="0.25">
      <c r="C760" s="60" t="str">
        <f>CONCATENATE("SOMMANO " &amp; 'Elenco Prezzi'!$C$181)</f>
        <v>SOMMANO m2</v>
      </c>
      <c r="D760" s="70"/>
      <c r="E760" s="70"/>
      <c r="F760" s="70"/>
      <c r="G760" s="70"/>
      <c r="H760" s="69">
        <f>SUM($H$757:$H$759)</f>
        <v>103.04280000000001</v>
      </c>
      <c r="I760" s="65">
        <f>('Elenco Prezzi'!$D$181)</f>
        <v>185</v>
      </c>
      <c r="J760" s="65">
        <f>PRODUCT($H$760,$I$760)</f>
        <v>19062.918000000001</v>
      </c>
      <c r="DF760" s="8" t="s">
        <v>514</v>
      </c>
    </row>
    <row r="761" spans="1:110" ht="31.5" x14ac:dyDescent="0.25">
      <c r="A761" s="3">
        <v>95</v>
      </c>
      <c r="B761" s="56" t="str">
        <f>('Elenco Prezzi'!$A$184)</f>
        <v>860.002</v>
      </c>
      <c r="C761" s="23" t="str">
        <f>('Elenco Prezzi'!$B$184)</f>
        <v>Facciata continua completa di porta scorrevole per ufficio interno</v>
      </c>
      <c r="D761" s="70"/>
      <c r="E761" s="70"/>
      <c r="F761" s="70"/>
      <c r="G761" s="70"/>
      <c r="H761" s="69"/>
      <c r="I761" s="65"/>
      <c r="J761" s="65"/>
      <c r="K761" s="58" t="s">
        <v>231</v>
      </c>
      <c r="L761" s="58" t="s">
        <v>232</v>
      </c>
      <c r="M761" s="58" t="s">
        <v>232</v>
      </c>
      <c r="N761" s="58" t="s">
        <v>234</v>
      </c>
      <c r="DF761" s="8" t="s">
        <v>514</v>
      </c>
    </row>
    <row r="762" spans="1:110" ht="31.5" hidden="1" outlineLevel="1" x14ac:dyDescent="0.25">
      <c r="C762" s="57" t="str">
        <f>('Elenco Prezzi'!$B$185)</f>
        <v>Facciata continua completa di porta scorrevole per ufficio interno</v>
      </c>
      <c r="D762" s="70"/>
      <c r="E762" s="70"/>
      <c r="F762" s="70"/>
      <c r="G762" s="70"/>
      <c r="H762" s="69"/>
      <c r="I762" s="65"/>
      <c r="J762" s="65"/>
      <c r="DF762" s="8" t="s">
        <v>514</v>
      </c>
    </row>
    <row r="763" spans="1:110" ht="31.5" hidden="1" outlineLevel="1" x14ac:dyDescent="0.25">
      <c r="C763" s="57" t="str">
        <f>('Elenco Prezzi'!$B$186)</f>
        <v>Facciata continua completa di porta scorrevole per ufficio interno</v>
      </c>
      <c r="D763" s="70"/>
      <c r="E763" s="70"/>
      <c r="F763" s="70"/>
      <c r="G763" s="70"/>
      <c r="H763" s="69"/>
      <c r="I763" s="65"/>
      <c r="J763" s="65"/>
      <c r="DF763" s="8" t="s">
        <v>514</v>
      </c>
    </row>
    <row r="764" spans="1:110" outlineLevel="1" x14ac:dyDescent="0.25">
      <c r="C764" s="59" t="s">
        <v>235</v>
      </c>
      <c r="D764" s="70"/>
      <c r="E764" s="70"/>
      <c r="F764" s="70"/>
      <c r="G764" s="70"/>
      <c r="H764" s="69"/>
      <c r="I764" s="65"/>
      <c r="J764" s="65"/>
      <c r="DF764" s="8" t="s">
        <v>514</v>
      </c>
    </row>
    <row r="765" spans="1:110" ht="63" outlineLevel="1" x14ac:dyDescent="0.25">
      <c r="C765" s="5" t="s">
        <v>435</v>
      </c>
      <c r="D765" s="70"/>
      <c r="E765" s="70" t="s">
        <v>436</v>
      </c>
      <c r="F765" s="70"/>
      <c r="G765" s="70"/>
      <c r="H765" s="69">
        <f>PRODUCT($CV$765,$CW$765,$CX$765,$CY$765)</f>
        <v>24.007000000000001</v>
      </c>
      <c r="I765" s="65"/>
      <c r="J765" s="65"/>
      <c r="CW765" s="8">
        <f>(2.381+3.865+3.865+2.416+3.686+3.858+3.936)</f>
        <v>24.007000000000001</v>
      </c>
      <c r="DF765" s="8" t="s">
        <v>514</v>
      </c>
    </row>
    <row r="766" spans="1:110" x14ac:dyDescent="0.25">
      <c r="C766" s="60" t="str">
        <f>CONCATENATE("SOMMANO " &amp; 'Elenco Prezzi'!$C$184)</f>
        <v>SOMMANO m</v>
      </c>
      <c r="D766" s="70"/>
      <c r="E766" s="70"/>
      <c r="F766" s="70"/>
      <c r="G766" s="70"/>
      <c r="H766" s="69">
        <f>SUM($H$765:$H$765)</f>
        <v>24.007000000000001</v>
      </c>
      <c r="I766" s="65">
        <f>('Elenco Prezzi'!$D$184)</f>
        <v>185</v>
      </c>
      <c r="J766" s="65">
        <f>PRODUCT($H$766,$I$766)</f>
        <v>4441.2950000000001</v>
      </c>
      <c r="DF766" s="8" t="s">
        <v>514</v>
      </c>
    </row>
    <row r="767" spans="1:110" ht="31.5" x14ac:dyDescent="0.25">
      <c r="A767" s="3">
        <v>96</v>
      </c>
      <c r="B767" s="56" t="str">
        <f>('Elenco Prezzi'!$A$187)</f>
        <v>900.001</v>
      </c>
      <c r="C767" s="23" t="str">
        <f>('Elenco Prezzi'!$B$187)</f>
        <v>Passerella elettrica con pioli</v>
      </c>
      <c r="D767" s="70"/>
      <c r="E767" s="70"/>
      <c r="F767" s="70"/>
      <c r="G767" s="70"/>
      <c r="H767" s="69"/>
      <c r="I767" s="65"/>
      <c r="J767" s="65"/>
      <c r="K767" s="58" t="s">
        <v>231</v>
      </c>
      <c r="L767" s="58" t="s">
        <v>232</v>
      </c>
      <c r="M767" s="58" t="s">
        <v>232</v>
      </c>
      <c r="N767" s="58" t="s">
        <v>234</v>
      </c>
      <c r="DF767" s="8" t="s">
        <v>514</v>
      </c>
    </row>
    <row r="768" spans="1:110" hidden="1" outlineLevel="1" x14ac:dyDescent="0.25">
      <c r="C768" s="57" t="str">
        <f>('Elenco Prezzi'!$B$188)</f>
        <v>Passerella elettrica con pioli</v>
      </c>
      <c r="D768" s="70"/>
      <c r="E768" s="70"/>
      <c r="F768" s="70"/>
      <c r="G768" s="70"/>
      <c r="H768" s="69"/>
      <c r="I768" s="65"/>
      <c r="J768" s="65"/>
      <c r="DF768" s="8" t="s">
        <v>514</v>
      </c>
    </row>
    <row r="769" spans="1:110" hidden="1" outlineLevel="1" x14ac:dyDescent="0.25">
      <c r="C769" s="57" t="str">
        <f>('Elenco Prezzi'!$B$189)</f>
        <v>Passerella elettrica con pioli</v>
      </c>
      <c r="D769" s="70"/>
      <c r="E769" s="70"/>
      <c r="F769" s="70"/>
      <c r="G769" s="70"/>
      <c r="H769" s="69"/>
      <c r="I769" s="65"/>
      <c r="J769" s="65"/>
      <c r="DF769" s="8" t="s">
        <v>514</v>
      </c>
    </row>
    <row r="770" spans="1:110" outlineLevel="1" x14ac:dyDescent="0.25">
      <c r="C770" s="59" t="s">
        <v>235</v>
      </c>
      <c r="D770" s="70"/>
      <c r="E770" s="70"/>
      <c r="F770" s="70"/>
      <c r="G770" s="70"/>
      <c r="H770" s="69"/>
      <c r="I770" s="65"/>
      <c r="J770" s="65"/>
      <c r="DF770" s="8" t="s">
        <v>514</v>
      </c>
    </row>
    <row r="771" spans="1:110" ht="31.5" outlineLevel="1" x14ac:dyDescent="0.25">
      <c r="C771" s="5" t="s">
        <v>437</v>
      </c>
      <c r="D771" s="70"/>
      <c r="E771" s="70">
        <v>1.0549999999999999</v>
      </c>
      <c r="F771" s="70"/>
      <c r="G771" s="70"/>
      <c r="H771" s="69">
        <f>PRODUCT($CV$771,$CW$771,$CX$771,$CY$771)</f>
        <v>1.0549999999999999</v>
      </c>
      <c r="I771" s="65"/>
      <c r="J771" s="65"/>
      <c r="CW771" s="8">
        <f>(1.055)</f>
        <v>1.0549999999999999</v>
      </c>
      <c r="DF771" s="8" t="s">
        <v>514</v>
      </c>
    </row>
    <row r="772" spans="1:110" ht="31.5" outlineLevel="1" x14ac:dyDescent="0.25">
      <c r="C772" s="5" t="s">
        <v>438</v>
      </c>
      <c r="D772" s="70"/>
      <c r="E772" s="70">
        <v>1.8759999999999999</v>
      </c>
      <c r="F772" s="70"/>
      <c r="G772" s="70"/>
      <c r="H772" s="69">
        <f>PRODUCT($CV$772,$CW$772,$CX$772,$CY$772)</f>
        <v>1.8759999999999999</v>
      </c>
      <c r="I772" s="65"/>
      <c r="J772" s="65"/>
      <c r="CW772" s="8">
        <f>(1.876)</f>
        <v>1.8759999999999999</v>
      </c>
      <c r="DF772" s="8" t="s">
        <v>514</v>
      </c>
    </row>
    <row r="773" spans="1:110" ht="31.5" outlineLevel="1" x14ac:dyDescent="0.25">
      <c r="C773" s="5" t="s">
        <v>439</v>
      </c>
      <c r="D773" s="70"/>
      <c r="E773" s="70">
        <v>0.48499999999999999</v>
      </c>
      <c r="F773" s="70"/>
      <c r="G773" s="70"/>
      <c r="H773" s="69">
        <f>PRODUCT($CV$773,$CW$773,$CX$773,$CY$773)</f>
        <v>0.48499999999999999</v>
      </c>
      <c r="I773" s="65"/>
      <c r="J773" s="65"/>
      <c r="CW773" s="8">
        <f>(0.485)</f>
        <v>0.48499999999999999</v>
      </c>
      <c r="DF773" s="8" t="s">
        <v>514</v>
      </c>
    </row>
    <row r="774" spans="1:110" ht="31.5" outlineLevel="1" x14ac:dyDescent="0.25">
      <c r="C774" s="5" t="s">
        <v>440</v>
      </c>
      <c r="D774" s="70"/>
      <c r="E774" s="70">
        <v>1.0549999999999999</v>
      </c>
      <c r="F774" s="70"/>
      <c r="G774" s="70"/>
      <c r="H774" s="69">
        <f>PRODUCT($CV$774,$CW$774,$CX$774,$CY$774)</f>
        <v>1.0549999999999999</v>
      </c>
      <c r="I774" s="65"/>
      <c r="J774" s="65"/>
      <c r="CW774" s="8">
        <f>(1.055)</f>
        <v>1.0549999999999999</v>
      </c>
      <c r="DF774" s="8" t="s">
        <v>514</v>
      </c>
    </row>
    <row r="775" spans="1:110" ht="31.5" outlineLevel="1" x14ac:dyDescent="0.25">
      <c r="C775" s="5" t="s">
        <v>441</v>
      </c>
      <c r="D775" s="70"/>
      <c r="E775" s="70">
        <v>1.0549999999999999</v>
      </c>
      <c r="F775" s="70"/>
      <c r="G775" s="70"/>
      <c r="H775" s="69">
        <f>PRODUCT($CV$775,$CW$775,$CX$775,$CY$775)</f>
        <v>1.0549999999999999</v>
      </c>
      <c r="I775" s="65"/>
      <c r="J775" s="65"/>
      <c r="CW775" s="8">
        <f>(1.055)</f>
        <v>1.0549999999999999</v>
      </c>
      <c r="DF775" s="8" t="s">
        <v>514</v>
      </c>
    </row>
    <row r="776" spans="1:110" ht="31.5" outlineLevel="1" x14ac:dyDescent="0.25">
      <c r="C776" s="5" t="s">
        <v>442</v>
      </c>
      <c r="D776" s="70"/>
      <c r="E776" s="70">
        <v>0.89</v>
      </c>
      <c r="F776" s="70"/>
      <c r="G776" s="70"/>
      <c r="H776" s="69">
        <f>PRODUCT($CV$776,$CW$776,$CX$776,$CY$776)</f>
        <v>0.89</v>
      </c>
      <c r="I776" s="65"/>
      <c r="J776" s="65"/>
      <c r="CW776" s="8">
        <f>(0.89)</f>
        <v>0.89</v>
      </c>
      <c r="DF776" s="8" t="s">
        <v>514</v>
      </c>
    </row>
    <row r="777" spans="1:110" ht="31.5" outlineLevel="1" x14ac:dyDescent="0.25">
      <c r="C777" s="5" t="s">
        <v>443</v>
      </c>
      <c r="D777" s="70"/>
      <c r="E777" s="70">
        <v>3.2410000000000001</v>
      </c>
      <c r="F777" s="70"/>
      <c r="G777" s="70"/>
      <c r="H777" s="69">
        <f>PRODUCT($CV$777,$CW$777,$CX$777,$CY$777)</f>
        <v>3.2410000000000001</v>
      </c>
      <c r="I777" s="65"/>
      <c r="J777" s="65"/>
      <c r="CW777" s="8">
        <f>(3.241)</f>
        <v>3.2410000000000001</v>
      </c>
      <c r="DF777" s="8" t="s">
        <v>514</v>
      </c>
    </row>
    <row r="778" spans="1:110" ht="31.5" outlineLevel="1" x14ac:dyDescent="0.25">
      <c r="C778" s="5" t="s">
        <v>444</v>
      </c>
      <c r="D778" s="70"/>
      <c r="E778" s="70">
        <v>1.5649999999999999</v>
      </c>
      <c r="F778" s="70"/>
      <c r="G778" s="70"/>
      <c r="H778" s="69">
        <f>PRODUCT($CV$778,$CW$778,$CX$778,$CY$778)</f>
        <v>1.5649999999999999</v>
      </c>
      <c r="I778" s="65"/>
      <c r="J778" s="65"/>
      <c r="CW778" s="8">
        <f>(1.565)</f>
        <v>1.5649999999999999</v>
      </c>
      <c r="DF778" s="8" t="s">
        <v>514</v>
      </c>
    </row>
    <row r="779" spans="1:110" ht="31.5" outlineLevel="1" x14ac:dyDescent="0.25">
      <c r="C779" s="5" t="s">
        <v>445</v>
      </c>
      <c r="D779" s="70"/>
      <c r="E779" s="70">
        <v>1.0309999999999999</v>
      </c>
      <c r="F779" s="70"/>
      <c r="G779" s="70"/>
      <c r="H779" s="69">
        <f>PRODUCT($CV$779,$CW$779,$CX$779,$CY$779)</f>
        <v>1.0309999999999999</v>
      </c>
      <c r="I779" s="65"/>
      <c r="J779" s="65"/>
      <c r="CW779" s="8">
        <f>(1.031)</f>
        <v>1.0309999999999999</v>
      </c>
      <c r="DF779" s="8" t="s">
        <v>514</v>
      </c>
    </row>
    <row r="780" spans="1:110" ht="31.5" outlineLevel="1" x14ac:dyDescent="0.25">
      <c r="C780" s="5" t="s">
        <v>446</v>
      </c>
      <c r="D780" s="70"/>
      <c r="E780" s="70">
        <v>1.0900000000000001</v>
      </c>
      <c r="F780" s="70"/>
      <c r="G780" s="70"/>
      <c r="H780" s="69">
        <f>PRODUCT($CV$780,$CW$780,$CX$780,$CY$780)</f>
        <v>1.0900000000000001</v>
      </c>
      <c r="I780" s="65"/>
      <c r="J780" s="65"/>
      <c r="CW780" s="8">
        <f>(1.09)</f>
        <v>1.0900000000000001</v>
      </c>
      <c r="DF780" s="8" t="s">
        <v>514</v>
      </c>
    </row>
    <row r="781" spans="1:110" x14ac:dyDescent="0.25">
      <c r="C781" s="60" t="str">
        <f>CONCATENATE("SOMMANO " &amp; 'Elenco Prezzi'!$C$187)</f>
        <v>SOMMANO m</v>
      </c>
      <c r="D781" s="70"/>
      <c r="E781" s="70"/>
      <c r="F781" s="70"/>
      <c r="G781" s="70"/>
      <c r="H781" s="69">
        <f>SUM($H$771:$H$780)</f>
        <v>13.343</v>
      </c>
      <c r="I781" s="65">
        <f>('Elenco Prezzi'!$D$187)</f>
        <v>4.7</v>
      </c>
      <c r="J781" s="65">
        <f>PRODUCT($H$781,$I$781)</f>
        <v>62.7121</v>
      </c>
      <c r="DF781" s="8" t="s">
        <v>514</v>
      </c>
    </row>
    <row r="782" spans="1:110" ht="31.5" x14ac:dyDescent="0.25">
      <c r="A782" s="3">
        <v>97</v>
      </c>
      <c r="B782" s="56" t="str">
        <f>('Elenco Prezzi'!$A$190)</f>
        <v>900.002</v>
      </c>
      <c r="C782" s="23" t="str">
        <f>('Elenco Prezzi'!$B$190)</f>
        <v>Raccordo passerella con pioli e con raggio 300 mm</v>
      </c>
      <c r="D782" s="70"/>
      <c r="E782" s="70"/>
      <c r="F782" s="70"/>
      <c r="G782" s="70"/>
      <c r="H782" s="69"/>
      <c r="I782" s="65"/>
      <c r="J782" s="65"/>
      <c r="K782" s="58" t="s">
        <v>231</v>
      </c>
      <c r="L782" s="58" t="s">
        <v>232</v>
      </c>
      <c r="M782" s="58" t="s">
        <v>232</v>
      </c>
      <c r="N782" s="58" t="s">
        <v>234</v>
      </c>
      <c r="DF782" s="8" t="s">
        <v>514</v>
      </c>
    </row>
    <row r="783" spans="1:110" hidden="1" outlineLevel="1" x14ac:dyDescent="0.25">
      <c r="C783" s="57" t="str">
        <f>('Elenco Prezzi'!$B$191)</f>
        <v>Raccordo passerella con pioli e con raggio 300 mm</v>
      </c>
      <c r="D783" s="70"/>
      <c r="E783" s="70"/>
      <c r="F783" s="70"/>
      <c r="G783" s="70"/>
      <c r="H783" s="69"/>
      <c r="I783" s="65"/>
      <c r="J783" s="65"/>
      <c r="DF783" s="8" t="s">
        <v>514</v>
      </c>
    </row>
    <row r="784" spans="1:110" hidden="1" outlineLevel="1" x14ac:dyDescent="0.25">
      <c r="C784" s="57" t="str">
        <f>('Elenco Prezzi'!$B$192)</f>
        <v>Raccordo passerella con pioli e con raggio 300 mm</v>
      </c>
      <c r="D784" s="70"/>
      <c r="E784" s="70"/>
      <c r="F784" s="70"/>
      <c r="G784" s="70"/>
      <c r="H784" s="69"/>
      <c r="I784" s="65"/>
      <c r="J784" s="65"/>
      <c r="DF784" s="8" t="s">
        <v>514</v>
      </c>
    </row>
    <row r="785" spans="1:110" outlineLevel="1" x14ac:dyDescent="0.25">
      <c r="C785" s="59" t="s">
        <v>235</v>
      </c>
      <c r="D785" s="70"/>
      <c r="E785" s="70"/>
      <c r="F785" s="70"/>
      <c r="G785" s="70"/>
      <c r="H785" s="69"/>
      <c r="I785" s="65"/>
      <c r="J785" s="65"/>
      <c r="DF785" s="8" t="s">
        <v>514</v>
      </c>
    </row>
    <row r="786" spans="1:110" ht="31.5" outlineLevel="1" x14ac:dyDescent="0.25">
      <c r="C786" s="5" t="s">
        <v>447</v>
      </c>
      <c r="D786" s="70">
        <v>2</v>
      </c>
      <c r="E786" s="70"/>
      <c r="F786" s="70"/>
      <c r="G786" s="70"/>
      <c r="H786" s="69">
        <f>PRODUCT($CV$786,$CW$786,$CX$786,$CY$786)</f>
        <v>2</v>
      </c>
      <c r="I786" s="65"/>
      <c r="J786" s="65"/>
      <c r="CV786" s="8">
        <f>(2)</f>
        <v>2</v>
      </c>
      <c r="DF786" s="8" t="s">
        <v>514</v>
      </c>
    </row>
    <row r="787" spans="1:110" x14ac:dyDescent="0.25">
      <c r="C787" s="60" t="str">
        <f>CONCATENATE("SOMMANO " &amp; 'Elenco Prezzi'!$C$190)</f>
        <v>SOMMANO Cad. Uno</v>
      </c>
      <c r="D787" s="70"/>
      <c r="E787" s="70"/>
      <c r="F787" s="70"/>
      <c r="G787" s="70"/>
      <c r="H787" s="69">
        <f>SUM($H$786:$H$786)</f>
        <v>2</v>
      </c>
      <c r="I787" s="65">
        <f>('Elenco Prezzi'!$D$190)</f>
        <v>38</v>
      </c>
      <c r="J787" s="65">
        <f>PRODUCT($H$787,$I$787)</f>
        <v>76</v>
      </c>
      <c r="DF787" s="8" t="s">
        <v>514</v>
      </c>
    </row>
    <row r="788" spans="1:110" ht="31.5" x14ac:dyDescent="0.25">
      <c r="A788" s="3">
        <v>98</v>
      </c>
      <c r="B788" s="56" t="str">
        <f>('Elenco Prezzi'!$A$193)</f>
        <v>900.003</v>
      </c>
      <c r="C788" s="23" t="str">
        <f>('Elenco Prezzi'!$B$193)</f>
        <v>Curva orizzontale per passerella a pioli 100x50</v>
      </c>
      <c r="D788" s="70"/>
      <c r="E788" s="70"/>
      <c r="F788" s="70"/>
      <c r="G788" s="70"/>
      <c r="H788" s="69"/>
      <c r="I788" s="65"/>
      <c r="J788" s="65"/>
      <c r="K788" s="58" t="s">
        <v>231</v>
      </c>
      <c r="L788" s="58" t="s">
        <v>232</v>
      </c>
      <c r="M788" s="58" t="s">
        <v>232</v>
      </c>
      <c r="N788" s="58" t="s">
        <v>234</v>
      </c>
      <c r="DF788" s="8" t="s">
        <v>514</v>
      </c>
    </row>
    <row r="789" spans="1:110" hidden="1" outlineLevel="1" x14ac:dyDescent="0.25">
      <c r="C789" s="57" t="str">
        <f>('Elenco Prezzi'!$B$194)</f>
        <v>Curva orizzontale per passerella a pioli 100x50</v>
      </c>
      <c r="D789" s="70"/>
      <c r="E789" s="70"/>
      <c r="F789" s="70"/>
      <c r="G789" s="70"/>
      <c r="H789" s="69"/>
      <c r="I789" s="65"/>
      <c r="J789" s="65"/>
      <c r="DF789" s="8" t="s">
        <v>514</v>
      </c>
    </row>
    <row r="790" spans="1:110" hidden="1" outlineLevel="1" x14ac:dyDescent="0.25">
      <c r="C790" s="57" t="str">
        <f>('Elenco Prezzi'!$B$195)</f>
        <v>Curva orizzontale per passerella a pioli 100x50</v>
      </c>
      <c r="D790" s="70"/>
      <c r="E790" s="70"/>
      <c r="F790" s="70"/>
      <c r="G790" s="70"/>
      <c r="H790" s="69"/>
      <c r="I790" s="65"/>
      <c r="J790" s="65"/>
      <c r="DF790" s="8" t="s">
        <v>514</v>
      </c>
    </row>
    <row r="791" spans="1:110" outlineLevel="1" x14ac:dyDescent="0.25">
      <c r="C791" s="59" t="s">
        <v>235</v>
      </c>
      <c r="D791" s="70"/>
      <c r="E791" s="70"/>
      <c r="F791" s="70"/>
      <c r="G791" s="70"/>
      <c r="H791" s="69"/>
      <c r="I791" s="65"/>
      <c r="J791" s="65"/>
      <c r="DF791" s="8" t="s">
        <v>514</v>
      </c>
    </row>
    <row r="792" spans="1:110" ht="31.5" outlineLevel="1" x14ac:dyDescent="0.25">
      <c r="C792" s="5" t="s">
        <v>448</v>
      </c>
      <c r="D792" s="70">
        <v>3</v>
      </c>
      <c r="E792" s="70"/>
      <c r="F792" s="70"/>
      <c r="G792" s="70"/>
      <c r="H792" s="69">
        <f>PRODUCT($CV$792,$CW$792,$CX$792,$CY$792)</f>
        <v>3</v>
      </c>
      <c r="I792" s="65"/>
      <c r="J792" s="65"/>
      <c r="CV792" s="8">
        <f>(3)</f>
        <v>3</v>
      </c>
      <c r="DF792" s="8" t="s">
        <v>514</v>
      </c>
    </row>
    <row r="793" spans="1:110" x14ac:dyDescent="0.25">
      <c r="C793" s="60" t="str">
        <f>CONCATENATE("SOMMANO " &amp; 'Elenco Prezzi'!$C$193)</f>
        <v>SOMMANO Cad. Uno</v>
      </c>
      <c r="D793" s="70"/>
      <c r="E793" s="70"/>
      <c r="F793" s="70"/>
      <c r="G793" s="70"/>
      <c r="H793" s="69">
        <f>SUM($H$792:$H$792)</f>
        <v>3</v>
      </c>
      <c r="I793" s="65">
        <f>('Elenco Prezzi'!$D$193)</f>
        <v>27</v>
      </c>
      <c r="J793" s="65">
        <f>PRODUCT($H$793,$I$793)</f>
        <v>81</v>
      </c>
      <c r="DF793" s="8" t="s">
        <v>514</v>
      </c>
    </row>
    <row r="794" spans="1:110" ht="31.5" x14ac:dyDescent="0.25">
      <c r="A794" s="3">
        <v>99</v>
      </c>
      <c r="B794" s="56" t="str">
        <f>('Elenco Prezzi'!$A$196)</f>
        <v>900.004</v>
      </c>
      <c r="C794" s="23" t="str">
        <f>('Elenco Prezzi'!$B$196)</f>
        <v>Curvatura verticale per passerella a pioli 100x50</v>
      </c>
      <c r="D794" s="70"/>
      <c r="E794" s="70"/>
      <c r="F794" s="70"/>
      <c r="G794" s="70"/>
      <c r="H794" s="69"/>
      <c r="I794" s="65"/>
      <c r="J794" s="65"/>
      <c r="K794" s="58" t="s">
        <v>231</v>
      </c>
      <c r="L794" s="58" t="s">
        <v>232</v>
      </c>
      <c r="M794" s="58" t="s">
        <v>232</v>
      </c>
      <c r="N794" s="58" t="s">
        <v>234</v>
      </c>
      <c r="DF794" s="8" t="s">
        <v>514</v>
      </c>
    </row>
    <row r="795" spans="1:110" hidden="1" outlineLevel="1" x14ac:dyDescent="0.25">
      <c r="C795" s="57" t="str">
        <f>('Elenco Prezzi'!$B$197)</f>
        <v>Curvatura verticale per passerella a pioli 100x50</v>
      </c>
      <c r="D795" s="70"/>
      <c r="E795" s="70"/>
      <c r="F795" s="70"/>
      <c r="G795" s="70"/>
      <c r="H795" s="69"/>
      <c r="I795" s="65"/>
      <c r="J795" s="65"/>
      <c r="DF795" s="8" t="s">
        <v>514</v>
      </c>
    </row>
    <row r="796" spans="1:110" hidden="1" outlineLevel="1" x14ac:dyDescent="0.25">
      <c r="C796" s="57" t="str">
        <f>('Elenco Prezzi'!$B$198)</f>
        <v>Curvatura verticale per passerella a pioli 100x50</v>
      </c>
      <c r="D796" s="70"/>
      <c r="E796" s="70"/>
      <c r="F796" s="70"/>
      <c r="G796" s="70"/>
      <c r="H796" s="69"/>
      <c r="I796" s="65"/>
      <c r="J796" s="65"/>
      <c r="DF796" s="8" t="s">
        <v>514</v>
      </c>
    </row>
    <row r="797" spans="1:110" outlineLevel="1" x14ac:dyDescent="0.25">
      <c r="C797" s="59" t="s">
        <v>235</v>
      </c>
      <c r="D797" s="70"/>
      <c r="E797" s="70"/>
      <c r="F797" s="70"/>
      <c r="G797" s="70"/>
      <c r="H797" s="69"/>
      <c r="I797" s="65"/>
      <c r="J797" s="65"/>
      <c r="DF797" s="8" t="s">
        <v>514</v>
      </c>
    </row>
    <row r="798" spans="1:110" ht="31.5" outlineLevel="1" x14ac:dyDescent="0.25">
      <c r="C798" s="5" t="s">
        <v>449</v>
      </c>
      <c r="D798" s="70">
        <v>4</v>
      </c>
      <c r="E798" s="70"/>
      <c r="F798" s="70"/>
      <c r="G798" s="70"/>
      <c r="H798" s="69">
        <f>PRODUCT($CV$798,$CW$798,$CX$798,$CY$798)</f>
        <v>4</v>
      </c>
      <c r="I798" s="65"/>
      <c r="J798" s="65"/>
      <c r="CV798" s="8">
        <f>(4)</f>
        <v>4</v>
      </c>
      <c r="DF798" s="8" t="s">
        <v>514</v>
      </c>
    </row>
    <row r="799" spans="1:110" x14ac:dyDescent="0.25">
      <c r="C799" s="60" t="str">
        <f>CONCATENATE("SOMMANO " &amp; 'Elenco Prezzi'!$C$196)</f>
        <v>SOMMANO Cad. Uno</v>
      </c>
      <c r="D799" s="70"/>
      <c r="E799" s="70"/>
      <c r="F799" s="70"/>
      <c r="G799" s="70"/>
      <c r="H799" s="69">
        <f>SUM($H$798:$H$798)</f>
        <v>4</v>
      </c>
      <c r="I799" s="65">
        <f>('Elenco Prezzi'!$D$196)</f>
        <v>23</v>
      </c>
      <c r="J799" s="65">
        <f>PRODUCT($H$799,$I$799)</f>
        <v>92</v>
      </c>
      <c r="DF799" s="8" t="s">
        <v>514</v>
      </c>
    </row>
    <row r="800" spans="1:110" ht="31.5" x14ac:dyDescent="0.25">
      <c r="A800" s="3">
        <v>100</v>
      </c>
      <c r="B800" s="56" t="str">
        <f>('Elenco Prezzi'!$A$199)</f>
        <v>910.001</v>
      </c>
      <c r="C800" s="23" t="str">
        <f>('Elenco Prezzi'!$B$199)</f>
        <v>Quadro elettrico 380v per gestione bancomat</v>
      </c>
      <c r="D800" s="70"/>
      <c r="E800" s="70"/>
      <c r="F800" s="70"/>
      <c r="G800" s="70"/>
      <c r="H800" s="69"/>
      <c r="I800" s="65"/>
      <c r="J800" s="65"/>
      <c r="K800" s="58" t="s">
        <v>231</v>
      </c>
      <c r="L800" s="58" t="s">
        <v>232</v>
      </c>
      <c r="M800" s="58" t="s">
        <v>232</v>
      </c>
      <c r="N800" s="58" t="s">
        <v>234</v>
      </c>
      <c r="DF800" s="8" t="s">
        <v>514</v>
      </c>
    </row>
    <row r="801" spans="1:110" hidden="1" outlineLevel="1" x14ac:dyDescent="0.25">
      <c r="C801" s="57" t="str">
        <f>('Elenco Prezzi'!$B$200)</f>
        <v>Quadro elettrico 380v per gestione bancomat</v>
      </c>
      <c r="D801" s="70"/>
      <c r="E801" s="70"/>
      <c r="F801" s="70"/>
      <c r="G801" s="70"/>
      <c r="H801" s="69"/>
      <c r="I801" s="65"/>
      <c r="J801" s="65"/>
      <c r="DF801" s="8" t="s">
        <v>514</v>
      </c>
    </row>
    <row r="802" spans="1:110" hidden="1" outlineLevel="1" x14ac:dyDescent="0.25">
      <c r="C802" s="57" t="str">
        <f>('Elenco Prezzi'!$B$201)</f>
        <v>Quadro elettrico 380v per gestione bancomat</v>
      </c>
      <c r="D802" s="70"/>
      <c r="E802" s="70"/>
      <c r="F802" s="70"/>
      <c r="G802" s="70"/>
      <c r="H802" s="69"/>
      <c r="I802" s="65"/>
      <c r="J802" s="65"/>
      <c r="DF802" s="8" t="s">
        <v>514</v>
      </c>
    </row>
    <row r="803" spans="1:110" outlineLevel="1" x14ac:dyDescent="0.25">
      <c r="C803" s="59" t="s">
        <v>235</v>
      </c>
      <c r="D803" s="70"/>
      <c r="E803" s="70"/>
      <c r="F803" s="70"/>
      <c r="G803" s="70"/>
      <c r="H803" s="69"/>
      <c r="I803" s="65"/>
      <c r="J803" s="65"/>
      <c r="DF803" s="8" t="s">
        <v>514</v>
      </c>
    </row>
    <row r="804" spans="1:110" ht="31.5" outlineLevel="1" x14ac:dyDescent="0.25">
      <c r="C804" s="5" t="s">
        <v>450</v>
      </c>
      <c r="D804" s="70">
        <v>2</v>
      </c>
      <c r="E804" s="70"/>
      <c r="F804" s="70"/>
      <c r="G804" s="70"/>
      <c r="H804" s="69">
        <f>PRODUCT($CV$804,$CW$804,$CX$804,$CY$804)</f>
        <v>2</v>
      </c>
      <c r="I804" s="65"/>
      <c r="J804" s="65"/>
      <c r="CV804" s="8">
        <f>(2)</f>
        <v>2</v>
      </c>
      <c r="DF804" s="8" t="s">
        <v>514</v>
      </c>
    </row>
    <row r="805" spans="1:110" x14ac:dyDescent="0.25">
      <c r="C805" s="60" t="str">
        <f>CONCATENATE("SOMMANO " &amp; 'Elenco Prezzi'!$C$199)</f>
        <v>SOMMANO Cad. Uno</v>
      </c>
      <c r="D805" s="70"/>
      <c r="E805" s="70"/>
      <c r="F805" s="70"/>
      <c r="G805" s="70"/>
      <c r="H805" s="69">
        <f>SUM($H$804:$H$804)</f>
        <v>2</v>
      </c>
      <c r="I805" s="65">
        <f>('Elenco Prezzi'!$D$199)</f>
        <v>480</v>
      </c>
      <c r="J805" s="65">
        <f>PRODUCT($H$805,$I$805)</f>
        <v>960</v>
      </c>
      <c r="DF805" s="8" t="s">
        <v>514</v>
      </c>
    </row>
    <row r="806" spans="1:110" ht="31.5" x14ac:dyDescent="0.25">
      <c r="A806" s="3">
        <v>101</v>
      </c>
      <c r="B806" s="56" t="str">
        <f>('Elenco Prezzi'!$A$202)</f>
        <v>920.001</v>
      </c>
      <c r="C806" s="23" t="str">
        <f>('Elenco Prezzi'!$B$202)</f>
        <v>Gomito tubo protettivo 27 mm</v>
      </c>
      <c r="D806" s="70"/>
      <c r="E806" s="70"/>
      <c r="F806" s="70"/>
      <c r="G806" s="70"/>
      <c r="H806" s="69"/>
      <c r="I806" s="65"/>
      <c r="J806" s="65"/>
      <c r="K806" s="58" t="s">
        <v>231</v>
      </c>
      <c r="L806" s="58" t="s">
        <v>232</v>
      </c>
      <c r="M806" s="58" t="s">
        <v>232</v>
      </c>
      <c r="N806" s="58" t="s">
        <v>234</v>
      </c>
      <c r="DF806" s="8" t="s">
        <v>514</v>
      </c>
    </row>
    <row r="807" spans="1:110" hidden="1" outlineLevel="1" x14ac:dyDescent="0.25">
      <c r="C807" s="57" t="str">
        <f>('Elenco Prezzi'!$B$203)</f>
        <v>Gomito tubo protettivo 27 mm</v>
      </c>
      <c r="D807" s="70"/>
      <c r="E807" s="70"/>
      <c r="F807" s="70"/>
      <c r="G807" s="70"/>
      <c r="H807" s="69"/>
      <c r="I807" s="65"/>
      <c r="J807" s="65"/>
      <c r="DF807" s="8" t="s">
        <v>514</v>
      </c>
    </row>
    <row r="808" spans="1:110" hidden="1" outlineLevel="1" x14ac:dyDescent="0.25">
      <c r="C808" s="57" t="str">
        <f>('Elenco Prezzi'!$B$204)</f>
        <v>Gomito tubo protettivo 27 mm</v>
      </c>
      <c r="D808" s="70"/>
      <c r="E808" s="70"/>
      <c r="F808" s="70"/>
      <c r="G808" s="70"/>
      <c r="H808" s="69"/>
      <c r="I808" s="65"/>
      <c r="J808" s="65"/>
      <c r="DF808" s="8" t="s">
        <v>514</v>
      </c>
    </row>
    <row r="809" spans="1:110" outlineLevel="1" x14ac:dyDescent="0.25">
      <c r="C809" s="59" t="s">
        <v>235</v>
      </c>
      <c r="D809" s="70"/>
      <c r="E809" s="70"/>
      <c r="F809" s="70"/>
      <c r="G809" s="70"/>
      <c r="H809" s="69"/>
      <c r="I809" s="65"/>
      <c r="J809" s="65"/>
      <c r="DF809" s="8" t="s">
        <v>514</v>
      </c>
    </row>
    <row r="810" spans="1:110" ht="31.5" outlineLevel="1" x14ac:dyDescent="0.25">
      <c r="C810" s="5" t="s">
        <v>451</v>
      </c>
      <c r="D810" s="70">
        <v>2</v>
      </c>
      <c r="E810" s="70"/>
      <c r="F810" s="70"/>
      <c r="G810" s="70"/>
      <c r="H810" s="69">
        <f>PRODUCT($CV$810,$CW$810,$CX$810,$CY$810)</f>
        <v>2</v>
      </c>
      <c r="I810" s="65"/>
      <c r="J810" s="65"/>
      <c r="CV810" s="8">
        <f>(2)</f>
        <v>2</v>
      </c>
      <c r="DF810" s="8" t="s">
        <v>514</v>
      </c>
    </row>
    <row r="811" spans="1:110" x14ac:dyDescent="0.25">
      <c r="C811" s="60" t="str">
        <f>CONCATENATE("SOMMANO " &amp; 'Elenco Prezzi'!$C$202)</f>
        <v>SOMMANO Cad. Uno</v>
      </c>
      <c r="D811" s="70"/>
      <c r="E811" s="70"/>
      <c r="F811" s="70"/>
      <c r="G811" s="70"/>
      <c r="H811" s="69">
        <f>SUM($H$810:$H$810)</f>
        <v>2</v>
      </c>
      <c r="I811" s="65">
        <f>('Elenco Prezzi'!$D$202)</f>
        <v>18</v>
      </c>
      <c r="J811" s="65">
        <f>PRODUCT($H$811,$I$811)</f>
        <v>36</v>
      </c>
      <c r="DF811" s="8" t="s">
        <v>514</v>
      </c>
    </row>
    <row r="812" spans="1:110" ht="31.5" x14ac:dyDescent="0.25">
      <c r="A812" s="3">
        <v>102</v>
      </c>
      <c r="B812" s="56" t="str">
        <f>('Elenco Prezzi'!$A$205)</f>
        <v>921.001</v>
      </c>
      <c r="C812" s="23" t="str">
        <f>('Elenco Prezzi'!$B$205)</f>
        <v>Scatola di derivazione elettrica</v>
      </c>
      <c r="D812" s="70"/>
      <c r="E812" s="70"/>
      <c r="F812" s="70"/>
      <c r="G812" s="70"/>
      <c r="H812" s="69"/>
      <c r="I812" s="65"/>
      <c r="J812" s="65"/>
      <c r="K812" s="58" t="s">
        <v>231</v>
      </c>
      <c r="L812" s="58" t="s">
        <v>232</v>
      </c>
      <c r="M812" s="58" t="s">
        <v>232</v>
      </c>
      <c r="N812" s="58" t="s">
        <v>234</v>
      </c>
      <c r="DF812" s="8" t="s">
        <v>514</v>
      </c>
    </row>
    <row r="813" spans="1:110" hidden="1" outlineLevel="1" x14ac:dyDescent="0.25">
      <c r="C813" s="57" t="str">
        <f>('Elenco Prezzi'!$B$206)</f>
        <v>Scatola di derivazione elettrica</v>
      </c>
      <c r="D813" s="70"/>
      <c r="E813" s="70"/>
      <c r="F813" s="70"/>
      <c r="G813" s="70"/>
      <c r="H813" s="69"/>
      <c r="I813" s="65"/>
      <c r="J813" s="65"/>
      <c r="DF813" s="8" t="s">
        <v>514</v>
      </c>
    </row>
    <row r="814" spans="1:110" hidden="1" outlineLevel="1" x14ac:dyDescent="0.25">
      <c r="C814" s="57" t="str">
        <f>('Elenco Prezzi'!$B$207)</f>
        <v>Scatola di derivazione elettrica</v>
      </c>
      <c r="D814" s="70"/>
      <c r="E814" s="70"/>
      <c r="F814" s="70"/>
      <c r="G814" s="70"/>
      <c r="H814" s="69"/>
      <c r="I814" s="65"/>
      <c r="J814" s="65"/>
      <c r="DF814" s="8" t="s">
        <v>514</v>
      </c>
    </row>
    <row r="815" spans="1:110" outlineLevel="1" x14ac:dyDescent="0.25">
      <c r="C815" s="59" t="s">
        <v>235</v>
      </c>
      <c r="D815" s="70"/>
      <c r="E815" s="70"/>
      <c r="F815" s="70"/>
      <c r="G815" s="70"/>
      <c r="H815" s="69"/>
      <c r="I815" s="65"/>
      <c r="J815" s="65"/>
      <c r="DF815" s="8" t="s">
        <v>514</v>
      </c>
    </row>
    <row r="816" spans="1:110" ht="31.5" outlineLevel="1" x14ac:dyDescent="0.25">
      <c r="C816" s="5" t="s">
        <v>452</v>
      </c>
      <c r="D816" s="70">
        <v>1</v>
      </c>
      <c r="E816" s="70"/>
      <c r="F816" s="70"/>
      <c r="G816" s="70"/>
      <c r="H816" s="69">
        <f>PRODUCT($CV$816,$CW$816,$CX$816,$CY$816)</f>
        <v>1</v>
      </c>
      <c r="I816" s="65"/>
      <c r="J816" s="65"/>
      <c r="CV816" s="8">
        <f>(1)</f>
        <v>1</v>
      </c>
      <c r="DF816" s="8" t="s">
        <v>514</v>
      </c>
    </row>
    <row r="817" spans="1:110" x14ac:dyDescent="0.25">
      <c r="C817" s="60" t="str">
        <f>CONCATENATE("SOMMANO " &amp; 'Elenco Prezzi'!$C$205)</f>
        <v>SOMMANO Cad. Uno</v>
      </c>
      <c r="D817" s="70"/>
      <c r="E817" s="70"/>
      <c r="F817" s="70"/>
      <c r="G817" s="70"/>
      <c r="H817" s="69">
        <f>SUM($H$816:$H$816)</f>
        <v>1</v>
      </c>
      <c r="I817" s="65">
        <f>('Elenco Prezzi'!$D$205)</f>
        <v>25</v>
      </c>
      <c r="J817" s="65">
        <f>PRODUCT($H$817,$I$817)</f>
        <v>25</v>
      </c>
      <c r="DF817" s="8" t="s">
        <v>514</v>
      </c>
    </row>
    <row r="818" spans="1:110" ht="31.5" x14ac:dyDescent="0.25">
      <c r="A818" s="3">
        <v>103</v>
      </c>
      <c r="B818" s="56" t="str">
        <f>('Elenco Prezzi'!$A$208)</f>
        <v>930.001</v>
      </c>
      <c r="C818" s="23" t="str">
        <f>('Elenco Prezzi'!$B$208)</f>
        <v>Tubo protettivo in PVC per impianto Bancomat</v>
      </c>
      <c r="D818" s="70"/>
      <c r="E818" s="70"/>
      <c r="F818" s="70"/>
      <c r="G818" s="70"/>
      <c r="H818" s="69"/>
      <c r="I818" s="65"/>
      <c r="J818" s="65"/>
      <c r="K818" s="58" t="s">
        <v>231</v>
      </c>
      <c r="L818" s="58" t="s">
        <v>232</v>
      </c>
      <c r="M818" s="58" t="s">
        <v>232</v>
      </c>
      <c r="N818" s="58" t="s">
        <v>234</v>
      </c>
      <c r="DF818" s="8" t="s">
        <v>514</v>
      </c>
    </row>
    <row r="819" spans="1:110" hidden="1" outlineLevel="1" x14ac:dyDescent="0.25">
      <c r="C819" s="57" t="str">
        <f>('Elenco Prezzi'!$B$209)</f>
        <v>Tubo protettivo in PVC per impianto Bancomat</v>
      </c>
      <c r="D819" s="70"/>
      <c r="E819" s="70"/>
      <c r="F819" s="70"/>
      <c r="G819" s="70"/>
      <c r="H819" s="69"/>
      <c r="I819" s="65"/>
      <c r="J819" s="65"/>
      <c r="DF819" s="8" t="s">
        <v>514</v>
      </c>
    </row>
    <row r="820" spans="1:110" hidden="1" outlineLevel="1" x14ac:dyDescent="0.25">
      <c r="C820" s="57" t="str">
        <f>('Elenco Prezzi'!$B$210)</f>
        <v>Tubo protettivo in PVC per impianto Bancomat</v>
      </c>
      <c r="D820" s="70"/>
      <c r="E820" s="70"/>
      <c r="F820" s="70"/>
      <c r="G820" s="70"/>
      <c r="H820" s="69"/>
      <c r="I820" s="65"/>
      <c r="J820" s="65"/>
      <c r="DF820" s="8" t="s">
        <v>514</v>
      </c>
    </row>
    <row r="821" spans="1:110" outlineLevel="1" x14ac:dyDescent="0.25">
      <c r="C821" s="59" t="s">
        <v>235</v>
      </c>
      <c r="D821" s="70"/>
      <c r="E821" s="70"/>
      <c r="F821" s="70"/>
      <c r="G821" s="70"/>
      <c r="H821" s="69"/>
      <c r="I821" s="65"/>
      <c r="J821" s="65"/>
      <c r="DF821" s="8" t="s">
        <v>514</v>
      </c>
    </row>
    <row r="822" spans="1:110" ht="31.5" outlineLevel="1" x14ac:dyDescent="0.25">
      <c r="C822" s="5" t="s">
        <v>453</v>
      </c>
      <c r="D822" s="70"/>
      <c r="E822" s="70">
        <v>0.45</v>
      </c>
      <c r="F822" s="70"/>
      <c r="G822" s="70"/>
      <c r="H822" s="69">
        <f>PRODUCT($CV$822,$CW$822,$CX$822,$CY$822)</f>
        <v>0.45</v>
      </c>
      <c r="I822" s="65"/>
      <c r="J822" s="65"/>
      <c r="CW822" s="8">
        <f>(0.45)</f>
        <v>0.45</v>
      </c>
      <c r="DF822" s="8" t="s">
        <v>514</v>
      </c>
    </row>
    <row r="823" spans="1:110" ht="31.5" outlineLevel="1" x14ac:dyDescent="0.25">
      <c r="C823" s="5" t="s">
        <v>454</v>
      </c>
      <c r="D823" s="70"/>
      <c r="E823" s="70">
        <v>0.254</v>
      </c>
      <c r="F823" s="70"/>
      <c r="G823" s="70"/>
      <c r="H823" s="69">
        <f>PRODUCT($CV$823,$CW$823,$CX$823,$CY$823)</f>
        <v>0.254</v>
      </c>
      <c r="I823" s="65"/>
      <c r="J823" s="65"/>
      <c r="CW823" s="8">
        <f>(0.254)</f>
        <v>0.254</v>
      </c>
      <c r="DF823" s="8" t="s">
        <v>514</v>
      </c>
    </row>
    <row r="824" spans="1:110" ht="31.5" outlineLevel="1" x14ac:dyDescent="0.25">
      <c r="C824" s="5" t="s">
        <v>455</v>
      </c>
      <c r="D824" s="70"/>
      <c r="E824" s="70">
        <v>1.6419999999999999</v>
      </c>
      <c r="F824" s="70"/>
      <c r="G824" s="70"/>
      <c r="H824" s="69">
        <f>PRODUCT($CV$824,$CW$824,$CX$824,$CY$824)</f>
        <v>1.6419999999999999</v>
      </c>
      <c r="I824" s="65"/>
      <c r="J824" s="65"/>
      <c r="CW824" s="8">
        <f>(1.642)</f>
        <v>1.6419999999999999</v>
      </c>
      <c r="DF824" s="8" t="s">
        <v>514</v>
      </c>
    </row>
    <row r="825" spans="1:110" ht="31.5" outlineLevel="1" x14ac:dyDescent="0.25">
      <c r="C825" s="5" t="s">
        <v>456</v>
      </c>
      <c r="D825" s="70"/>
      <c r="E825" s="70">
        <v>1.1890000000000001</v>
      </c>
      <c r="F825" s="70"/>
      <c r="G825" s="70"/>
      <c r="H825" s="69">
        <f>PRODUCT($CV$825,$CW$825,$CX$825,$CY$825)</f>
        <v>1.1890000000000001</v>
      </c>
      <c r="I825" s="65"/>
      <c r="J825" s="65"/>
      <c r="CW825" s="8">
        <f>(1.189)</f>
        <v>1.1890000000000001</v>
      </c>
      <c r="DF825" s="8" t="s">
        <v>514</v>
      </c>
    </row>
    <row r="826" spans="1:110" ht="31.5" outlineLevel="1" x14ac:dyDescent="0.25">
      <c r="C826" s="5" t="s">
        <v>457</v>
      </c>
      <c r="D826" s="70"/>
      <c r="E826" s="70">
        <v>0.1</v>
      </c>
      <c r="F826" s="70"/>
      <c r="G826" s="70"/>
      <c r="H826" s="69">
        <f>PRODUCT($CV$826,$CW$826,$CX$826,$CY$826)</f>
        <v>0.1</v>
      </c>
      <c r="I826" s="65"/>
      <c r="J826" s="65"/>
      <c r="CW826" s="8">
        <f>(0.1)</f>
        <v>0.1</v>
      </c>
      <c r="DF826" s="8" t="s">
        <v>514</v>
      </c>
    </row>
    <row r="827" spans="1:110" x14ac:dyDescent="0.25">
      <c r="C827" s="60" t="str">
        <f>CONCATENATE("SOMMANO " &amp; 'Elenco Prezzi'!$C$208)</f>
        <v>SOMMANO m</v>
      </c>
      <c r="D827" s="70"/>
      <c r="E827" s="70"/>
      <c r="F827" s="70"/>
      <c r="G827" s="70"/>
      <c r="H827" s="69">
        <f>SUM($H$822:$H$826)</f>
        <v>3.6350000000000002</v>
      </c>
      <c r="I827" s="65">
        <f>('Elenco Prezzi'!$D$208)</f>
        <v>6</v>
      </c>
      <c r="J827" s="65">
        <f>PRODUCT($H$827,$I$827)</f>
        <v>21.810000000000002</v>
      </c>
      <c r="DF827" s="8" t="s">
        <v>514</v>
      </c>
    </row>
    <row r="828" spans="1:110" ht="31.5" x14ac:dyDescent="0.25">
      <c r="A828" s="3">
        <v>104</v>
      </c>
      <c r="B828" s="56" t="str">
        <f>('Elenco Prezzi'!$A$211)</f>
        <v>950.001</v>
      </c>
      <c r="C828" s="23" t="str">
        <f>('Elenco Prezzi'!$B$211)</f>
        <v>Condotta zona bancomat - Sviluppo lamiera Sezioni 225x225</v>
      </c>
      <c r="D828" s="70"/>
      <c r="E828" s="70"/>
      <c r="F828" s="70"/>
      <c r="G828" s="70"/>
      <c r="H828" s="69"/>
      <c r="I828" s="65"/>
      <c r="J828" s="65"/>
      <c r="K828" s="58" t="s">
        <v>231</v>
      </c>
      <c r="L828" s="58" t="s">
        <v>232</v>
      </c>
      <c r="M828" s="58" t="s">
        <v>232</v>
      </c>
      <c r="N828" s="58" t="s">
        <v>234</v>
      </c>
      <c r="DF828" s="8" t="s">
        <v>514</v>
      </c>
    </row>
    <row r="829" spans="1:110" hidden="1" outlineLevel="1" x14ac:dyDescent="0.25">
      <c r="C829" s="57" t="str">
        <f>('Elenco Prezzi'!$B$212)</f>
        <v>Condotta zona bancomat - Sviluppo lamiera Sezioni 225x225</v>
      </c>
      <c r="D829" s="70"/>
      <c r="E829" s="70"/>
      <c r="F829" s="70"/>
      <c r="G829" s="70"/>
      <c r="H829" s="69"/>
      <c r="I829" s="65"/>
      <c r="J829" s="65"/>
      <c r="DF829" s="8" t="s">
        <v>514</v>
      </c>
    </row>
    <row r="830" spans="1:110" hidden="1" outlineLevel="1" x14ac:dyDescent="0.25">
      <c r="C830" s="57" t="str">
        <f>('Elenco Prezzi'!$B$213)</f>
        <v>Condotta zona bancomat - Sviluppo lamiera Sezioni 225x225</v>
      </c>
      <c r="D830" s="70"/>
      <c r="E830" s="70"/>
      <c r="F830" s="70"/>
      <c r="G830" s="70"/>
      <c r="H830" s="69"/>
      <c r="I830" s="65"/>
      <c r="J830" s="65"/>
      <c r="DF830" s="8" t="s">
        <v>514</v>
      </c>
    </row>
    <row r="831" spans="1:110" outlineLevel="1" x14ac:dyDescent="0.25">
      <c r="C831" s="59" t="s">
        <v>235</v>
      </c>
      <c r="D831" s="70"/>
      <c r="E831" s="70"/>
      <c r="F831" s="70"/>
      <c r="G831" s="70"/>
      <c r="H831" s="69"/>
      <c r="I831" s="65"/>
      <c r="J831" s="65"/>
      <c r="DF831" s="8" t="s">
        <v>514</v>
      </c>
    </row>
    <row r="832" spans="1:110" ht="31.5" outlineLevel="1" x14ac:dyDescent="0.25">
      <c r="C832" s="5" t="s">
        <v>458</v>
      </c>
      <c r="D832" s="70" t="s">
        <v>459</v>
      </c>
      <c r="E832" s="70"/>
      <c r="F832" s="70"/>
      <c r="G832" s="70"/>
      <c r="H832" s="69">
        <f>PRODUCT($CV$832,$CW$832,$CX$832,$CY$832)</f>
        <v>6.8400000000000002E-2</v>
      </c>
      <c r="I832" s="65"/>
      <c r="J832" s="65"/>
      <c r="CV832" s="8">
        <f>(0.9*0.076)</f>
        <v>6.8400000000000002E-2</v>
      </c>
      <c r="DF832" s="8" t="s">
        <v>514</v>
      </c>
    </row>
    <row r="833" spans="1:110" ht="31.5" outlineLevel="1" x14ac:dyDescent="0.25">
      <c r="C833" s="5" t="s">
        <v>460</v>
      </c>
      <c r="D833" s="70" t="s">
        <v>459</v>
      </c>
      <c r="E833" s="70"/>
      <c r="F833" s="70"/>
      <c r="G833" s="70"/>
      <c r="H833" s="69">
        <f>PRODUCT($CV$833,$CW$833,$CX$833,$CY$833)</f>
        <v>6.8400000000000002E-2</v>
      </c>
      <c r="I833" s="65"/>
      <c r="J833" s="65"/>
      <c r="CV833" s="8">
        <f>(0.9*0.076)</f>
        <v>6.8400000000000002E-2</v>
      </c>
      <c r="DF833" s="8" t="s">
        <v>514</v>
      </c>
    </row>
    <row r="834" spans="1:110" ht="31.5" outlineLevel="1" x14ac:dyDescent="0.25">
      <c r="C834" s="5" t="s">
        <v>461</v>
      </c>
      <c r="D834" s="70" t="s">
        <v>462</v>
      </c>
      <c r="E834" s="70"/>
      <c r="F834" s="70"/>
      <c r="G834" s="70"/>
      <c r="H834" s="69">
        <f>PRODUCT($CV$834,$CW$834,$CX$834,$CY$834)</f>
        <v>1.0691999999999999</v>
      </c>
      <c r="I834" s="65"/>
      <c r="J834" s="65"/>
      <c r="CV834" s="8">
        <f>(0.9*1.188)</f>
        <v>1.0691999999999999</v>
      </c>
      <c r="DF834" s="8" t="s">
        <v>514</v>
      </c>
    </row>
    <row r="835" spans="1:110" ht="31.5" outlineLevel="1" x14ac:dyDescent="0.25">
      <c r="C835" s="5" t="s">
        <v>463</v>
      </c>
      <c r="D835" s="70" t="s">
        <v>464</v>
      </c>
      <c r="E835" s="70"/>
      <c r="F835" s="70"/>
      <c r="G835" s="70"/>
      <c r="H835" s="69">
        <f>PRODUCT($CV$835,$CW$835,$CX$835,$CY$835)</f>
        <v>0.63</v>
      </c>
      <c r="I835" s="65"/>
      <c r="J835" s="65"/>
      <c r="CV835" s="8">
        <f>(0.9*0.7)</f>
        <v>0.63</v>
      </c>
      <c r="DF835" s="8" t="s">
        <v>514</v>
      </c>
    </row>
    <row r="836" spans="1:110" ht="31.5" outlineLevel="1" x14ac:dyDescent="0.25">
      <c r="C836" s="5" t="s">
        <v>465</v>
      </c>
      <c r="D836" s="70" t="s">
        <v>466</v>
      </c>
      <c r="E836" s="70"/>
      <c r="F836" s="70"/>
      <c r="G836" s="70"/>
      <c r="H836" s="69">
        <f>PRODUCT($CV$836,$CW$836,$CX$836,$CY$836)</f>
        <v>1.2195</v>
      </c>
      <c r="I836" s="65"/>
      <c r="J836" s="65"/>
      <c r="CV836" s="8">
        <f>(0.9*1.355)</f>
        <v>1.2195</v>
      </c>
      <c r="DF836" s="8" t="s">
        <v>514</v>
      </c>
    </row>
    <row r="837" spans="1:110" ht="31.5" outlineLevel="1" x14ac:dyDescent="0.25">
      <c r="C837" s="5" t="s">
        <v>467</v>
      </c>
      <c r="D837" s="70" t="s">
        <v>468</v>
      </c>
      <c r="E837" s="70"/>
      <c r="F837" s="70"/>
      <c r="G837" s="70"/>
      <c r="H837" s="69">
        <f>PRODUCT($CV$837,$CW$837,$CX$837,$CY$837)</f>
        <v>0.4365</v>
      </c>
      <c r="I837" s="65"/>
      <c r="J837" s="65"/>
      <c r="CV837" s="8">
        <f>(0.9*0.485)</f>
        <v>0.4365</v>
      </c>
      <c r="DF837" s="8" t="s">
        <v>514</v>
      </c>
    </row>
    <row r="838" spans="1:110" ht="31.5" outlineLevel="1" x14ac:dyDescent="0.25">
      <c r="C838" s="5" t="s">
        <v>469</v>
      </c>
      <c r="D838" s="70" t="s">
        <v>459</v>
      </c>
      <c r="E838" s="70"/>
      <c r="F838" s="70"/>
      <c r="G838" s="70"/>
      <c r="H838" s="69">
        <f>PRODUCT($CV$838,$CW$838,$CX$838,$CY$838)</f>
        <v>6.8400000000000002E-2</v>
      </c>
      <c r="I838" s="65"/>
      <c r="J838" s="65"/>
      <c r="CV838" s="8">
        <f>(0.9*0.076)</f>
        <v>6.8400000000000002E-2</v>
      </c>
      <c r="DF838" s="8" t="s">
        <v>514</v>
      </c>
    </row>
    <row r="839" spans="1:110" x14ac:dyDescent="0.25">
      <c r="C839" s="60" t="str">
        <f>CONCATENATE("SOMMANO " &amp; 'Elenco Prezzi'!$C$211)</f>
        <v>SOMMANO m2</v>
      </c>
      <c r="D839" s="70"/>
      <c r="E839" s="70"/>
      <c r="F839" s="70"/>
      <c r="G839" s="70"/>
      <c r="H839" s="69">
        <f>SUM($H$832:$H$838)</f>
        <v>3.5604</v>
      </c>
      <c r="I839" s="65">
        <f>('Elenco Prezzi'!$D$211)</f>
        <v>90</v>
      </c>
      <c r="J839" s="65">
        <f>PRODUCT($H$839,$I$839)</f>
        <v>320.43599999999998</v>
      </c>
      <c r="DF839" s="8" t="s">
        <v>514</v>
      </c>
    </row>
    <row r="840" spans="1:110" ht="31.5" x14ac:dyDescent="0.25">
      <c r="A840" s="3">
        <v>105</v>
      </c>
      <c r="B840" s="56" t="str">
        <f>('Elenco Prezzi'!$A$214)</f>
        <v>950.002</v>
      </c>
      <c r="C840" s="23" t="str">
        <f>('Elenco Prezzi'!$B$214)</f>
        <v>Condotta zona bancomat - Sviluppo lamiera Sezioni 325x325</v>
      </c>
      <c r="D840" s="70"/>
      <c r="E840" s="70"/>
      <c r="F840" s="70"/>
      <c r="G840" s="70"/>
      <c r="H840" s="69"/>
      <c r="I840" s="65"/>
      <c r="J840" s="65"/>
      <c r="K840" s="58" t="s">
        <v>231</v>
      </c>
      <c r="L840" s="58" t="s">
        <v>232</v>
      </c>
      <c r="M840" s="58" t="s">
        <v>232</v>
      </c>
      <c r="N840" s="58" t="s">
        <v>234</v>
      </c>
      <c r="DF840" s="8" t="s">
        <v>514</v>
      </c>
    </row>
    <row r="841" spans="1:110" hidden="1" outlineLevel="1" x14ac:dyDescent="0.25">
      <c r="C841" s="57" t="str">
        <f>('Elenco Prezzi'!$B$215)</f>
        <v>Condotta zona bancomat - Sviluppo lamiera Sezioni 325x325</v>
      </c>
      <c r="D841" s="70"/>
      <c r="E841" s="70"/>
      <c r="F841" s="70"/>
      <c r="G841" s="70"/>
      <c r="H841" s="69"/>
      <c r="I841" s="65"/>
      <c r="J841" s="65"/>
      <c r="DF841" s="8" t="s">
        <v>514</v>
      </c>
    </row>
    <row r="842" spans="1:110" hidden="1" outlineLevel="1" x14ac:dyDescent="0.25">
      <c r="C842" s="57" t="str">
        <f>('Elenco Prezzi'!$B$216)</f>
        <v>Condotta zona bancomat - Sviluppo lamiera Sezioni 325x325</v>
      </c>
      <c r="D842" s="70"/>
      <c r="E842" s="70"/>
      <c r="F842" s="70"/>
      <c r="G842" s="70"/>
      <c r="H842" s="69"/>
      <c r="I842" s="65"/>
      <c r="J842" s="65"/>
      <c r="DF842" s="8" t="s">
        <v>514</v>
      </c>
    </row>
    <row r="843" spans="1:110" outlineLevel="1" x14ac:dyDescent="0.25">
      <c r="C843" s="59" t="s">
        <v>235</v>
      </c>
      <c r="D843" s="70"/>
      <c r="E843" s="70"/>
      <c r="F843" s="70"/>
      <c r="G843" s="70"/>
      <c r="H843" s="69"/>
      <c r="I843" s="65"/>
      <c r="J843" s="65"/>
      <c r="DF843" s="8" t="s">
        <v>514</v>
      </c>
    </row>
    <row r="844" spans="1:110" ht="31.5" outlineLevel="1" x14ac:dyDescent="0.25">
      <c r="C844" s="5" t="s">
        <v>470</v>
      </c>
      <c r="D844" s="70" t="s">
        <v>471</v>
      </c>
      <c r="E844" s="70"/>
      <c r="F844" s="70"/>
      <c r="G844" s="70"/>
      <c r="H844" s="69">
        <f>PRODUCT($CV$844,$CW$844,$CX$844,$CY$844)</f>
        <v>1.4911000000000001</v>
      </c>
      <c r="I844" s="65"/>
      <c r="J844" s="65"/>
      <c r="CV844" s="8">
        <f>(1.3*1.147)</f>
        <v>1.4911000000000001</v>
      </c>
      <c r="DF844" s="8" t="s">
        <v>514</v>
      </c>
    </row>
    <row r="845" spans="1:110" x14ac:dyDescent="0.25">
      <c r="C845" s="60" t="str">
        <f>CONCATENATE("SOMMANO " &amp; 'Elenco Prezzi'!$C$214)</f>
        <v>SOMMANO m2</v>
      </c>
      <c r="D845" s="70"/>
      <c r="E845" s="70"/>
      <c r="F845" s="70"/>
      <c r="G845" s="70"/>
      <c r="H845" s="69">
        <f>SUM($H$844:$H$844)</f>
        <v>1.4911000000000001</v>
      </c>
      <c r="I845" s="65">
        <f>('Elenco Prezzi'!$D$214)</f>
        <v>110</v>
      </c>
      <c r="J845" s="65">
        <f>PRODUCT($H$845,$I$845)</f>
        <v>164.02100000000002</v>
      </c>
      <c r="DF845" s="8" t="s">
        <v>514</v>
      </c>
    </row>
    <row r="846" spans="1:110" ht="31.5" x14ac:dyDescent="0.25">
      <c r="A846" s="3">
        <v>106</v>
      </c>
      <c r="B846" s="56" t="str">
        <f>('Elenco Prezzi'!$A$217)</f>
        <v>950.003</v>
      </c>
      <c r="C846" s="23" t="str">
        <f>('Elenco Prezzi'!$B$217)</f>
        <v>Condotta zona bancomat - Sviluppo lamiera Sezioni 375x375</v>
      </c>
      <c r="D846" s="70"/>
      <c r="E846" s="70"/>
      <c r="F846" s="70"/>
      <c r="G846" s="70"/>
      <c r="H846" s="69"/>
      <c r="I846" s="65"/>
      <c r="J846" s="65"/>
      <c r="K846" s="58" t="s">
        <v>231</v>
      </c>
      <c r="L846" s="58" t="s">
        <v>232</v>
      </c>
      <c r="M846" s="58" t="s">
        <v>232</v>
      </c>
      <c r="N846" s="58" t="s">
        <v>234</v>
      </c>
      <c r="DF846" s="8" t="s">
        <v>514</v>
      </c>
    </row>
    <row r="847" spans="1:110" hidden="1" outlineLevel="1" x14ac:dyDescent="0.25">
      <c r="C847" s="57" t="str">
        <f>('Elenco Prezzi'!$B$218)</f>
        <v>Condotta zona bancomat - Sviluppo lamiera Sezioni 375x375</v>
      </c>
      <c r="D847" s="70"/>
      <c r="E847" s="70"/>
      <c r="F847" s="70"/>
      <c r="G847" s="70"/>
      <c r="H847" s="69"/>
      <c r="I847" s="65"/>
      <c r="J847" s="65"/>
      <c r="DF847" s="8" t="s">
        <v>514</v>
      </c>
    </row>
    <row r="848" spans="1:110" hidden="1" outlineLevel="1" x14ac:dyDescent="0.25">
      <c r="C848" s="57" t="str">
        <f>('Elenco Prezzi'!$B$219)</f>
        <v>Condotta zona bancomat - Sviluppo lamiera Sezioni 375x375</v>
      </c>
      <c r="D848" s="70"/>
      <c r="E848" s="70"/>
      <c r="F848" s="70"/>
      <c r="G848" s="70"/>
      <c r="H848" s="69"/>
      <c r="I848" s="65"/>
      <c r="J848" s="65"/>
      <c r="DF848" s="8" t="s">
        <v>514</v>
      </c>
    </row>
    <row r="849" spans="1:110" outlineLevel="1" x14ac:dyDescent="0.25">
      <c r="C849" s="59" t="s">
        <v>235</v>
      </c>
      <c r="D849" s="70"/>
      <c r="E849" s="70"/>
      <c r="F849" s="70"/>
      <c r="G849" s="70"/>
      <c r="H849" s="69"/>
      <c r="I849" s="65"/>
      <c r="J849" s="65"/>
      <c r="DF849" s="8" t="s">
        <v>514</v>
      </c>
    </row>
    <row r="850" spans="1:110" ht="31.5" outlineLevel="1" x14ac:dyDescent="0.25">
      <c r="C850" s="5" t="s">
        <v>472</v>
      </c>
      <c r="D850" s="70" t="s">
        <v>473</v>
      </c>
      <c r="E850" s="70"/>
      <c r="F850" s="70"/>
      <c r="G850" s="70"/>
      <c r="H850" s="69">
        <f>PRODUCT($CV$850,$CW$850,$CX$850,$CY$850)</f>
        <v>6.2685000000000004</v>
      </c>
      <c r="I850" s="65"/>
      <c r="J850" s="65"/>
      <c r="CV850" s="8">
        <f>(1.5*4.179)</f>
        <v>6.2685000000000004</v>
      </c>
      <c r="DF850" s="8" t="s">
        <v>514</v>
      </c>
    </row>
    <row r="851" spans="1:110" ht="31.5" outlineLevel="1" x14ac:dyDescent="0.25">
      <c r="C851" s="5" t="s">
        <v>474</v>
      </c>
      <c r="D851" s="70" t="s">
        <v>475</v>
      </c>
      <c r="E851" s="70"/>
      <c r="F851" s="70"/>
      <c r="G851" s="70"/>
      <c r="H851" s="69">
        <f>PRODUCT($CV$851,$CW$851,$CX$851,$CY$851)</f>
        <v>0.39150000000000001</v>
      </c>
      <c r="I851" s="65"/>
      <c r="J851" s="65"/>
      <c r="CV851" s="8">
        <f>(1.5*0.261)</f>
        <v>0.39150000000000001</v>
      </c>
      <c r="DF851" s="8" t="s">
        <v>514</v>
      </c>
    </row>
    <row r="852" spans="1:110" ht="31.5" outlineLevel="1" x14ac:dyDescent="0.25">
      <c r="C852" s="5" t="s">
        <v>476</v>
      </c>
      <c r="D852" s="70" t="s">
        <v>477</v>
      </c>
      <c r="E852" s="70"/>
      <c r="F852" s="70"/>
      <c r="G852" s="70"/>
      <c r="H852" s="69">
        <f>PRODUCT($CV$852,$CW$852,$CX$852,$CY$852)</f>
        <v>3.5625</v>
      </c>
      <c r="I852" s="65"/>
      <c r="J852" s="65"/>
      <c r="CV852" s="8">
        <f>(1.5*2.375)</f>
        <v>3.5625</v>
      </c>
      <c r="DF852" s="8" t="s">
        <v>514</v>
      </c>
    </row>
    <row r="853" spans="1:110" ht="31.5" outlineLevel="1" x14ac:dyDescent="0.25">
      <c r="C853" s="5" t="s">
        <v>478</v>
      </c>
      <c r="D853" s="70" t="s">
        <v>479</v>
      </c>
      <c r="E853" s="70"/>
      <c r="F853" s="70"/>
      <c r="G853" s="70"/>
      <c r="H853" s="69">
        <f>PRODUCT($CV$853,$CW$853,$CX$853,$CY$853)</f>
        <v>0.1575</v>
      </c>
      <c r="I853" s="65"/>
      <c r="J853" s="65"/>
      <c r="CV853" s="8">
        <f>(1.5*0.105)</f>
        <v>0.1575</v>
      </c>
      <c r="DF853" s="8" t="s">
        <v>514</v>
      </c>
    </row>
    <row r="854" spans="1:110" x14ac:dyDescent="0.25">
      <c r="C854" s="60" t="str">
        <f>CONCATENATE("SOMMANO " &amp; 'Elenco Prezzi'!$C$217)</f>
        <v>SOMMANO m2</v>
      </c>
      <c r="D854" s="70"/>
      <c r="E854" s="70"/>
      <c r="F854" s="70"/>
      <c r="G854" s="70"/>
      <c r="H854" s="69">
        <f>SUM($H$850:$H$853)</f>
        <v>10.38</v>
      </c>
      <c r="I854" s="65">
        <f>('Elenco Prezzi'!$D$217)</f>
        <v>140</v>
      </c>
      <c r="J854" s="65">
        <f>PRODUCT($H$854,$I$854)</f>
        <v>1453.2</v>
      </c>
      <c r="DF854" s="8" t="s">
        <v>514</v>
      </c>
    </row>
    <row r="855" spans="1:110" ht="31.5" x14ac:dyDescent="0.25">
      <c r="A855" s="3">
        <v>107</v>
      </c>
      <c r="B855" s="56" t="str">
        <f>('Elenco Prezzi'!$A$220)</f>
        <v>951.001</v>
      </c>
      <c r="C855" s="23" t="str">
        <f>('Elenco Prezzi'!$B$220)</f>
        <v>Bochettoni per aria di mandata zona bancomat</v>
      </c>
      <c r="D855" s="70"/>
      <c r="E855" s="70"/>
      <c r="F855" s="70"/>
      <c r="G855" s="70"/>
      <c r="H855" s="69"/>
      <c r="I855" s="65"/>
      <c r="J855" s="65"/>
      <c r="K855" s="58" t="s">
        <v>231</v>
      </c>
      <c r="L855" s="58" t="s">
        <v>232</v>
      </c>
      <c r="M855" s="58" t="s">
        <v>232</v>
      </c>
      <c r="N855" s="58" t="s">
        <v>234</v>
      </c>
      <c r="DF855" s="8" t="s">
        <v>514</v>
      </c>
    </row>
    <row r="856" spans="1:110" hidden="1" outlineLevel="1" x14ac:dyDescent="0.25">
      <c r="C856" s="57" t="str">
        <f>('Elenco Prezzi'!$B$221)</f>
        <v>Bochettoni per aria di mandata zona bancomat</v>
      </c>
      <c r="D856" s="70"/>
      <c r="E856" s="70"/>
      <c r="F856" s="70"/>
      <c r="G856" s="70"/>
      <c r="H856" s="69"/>
      <c r="I856" s="65"/>
      <c r="J856" s="65"/>
      <c r="DF856" s="8" t="s">
        <v>514</v>
      </c>
    </row>
    <row r="857" spans="1:110" hidden="1" outlineLevel="1" x14ac:dyDescent="0.25">
      <c r="C857" s="57" t="str">
        <f>('Elenco Prezzi'!$B$222)</f>
        <v>Bochettoni per aria di mandata zona bancomat</v>
      </c>
      <c r="D857" s="70"/>
      <c r="E857" s="70"/>
      <c r="F857" s="70"/>
      <c r="G857" s="70"/>
      <c r="H857" s="69"/>
      <c r="I857" s="65"/>
      <c r="J857" s="65"/>
      <c r="DF857" s="8" t="s">
        <v>514</v>
      </c>
    </row>
    <row r="858" spans="1:110" outlineLevel="1" x14ac:dyDescent="0.25">
      <c r="C858" s="59" t="s">
        <v>235</v>
      </c>
      <c r="D858" s="70"/>
      <c r="E858" s="70"/>
      <c r="F858" s="70"/>
      <c r="G858" s="70"/>
      <c r="H858" s="69"/>
      <c r="I858" s="65"/>
      <c r="J858" s="65"/>
      <c r="DF858" s="8" t="s">
        <v>514</v>
      </c>
    </row>
    <row r="859" spans="1:110" ht="31.5" outlineLevel="1" x14ac:dyDescent="0.25">
      <c r="C859" s="5" t="s">
        <v>480</v>
      </c>
      <c r="D859" s="70">
        <v>3</v>
      </c>
      <c r="E859" s="70"/>
      <c r="F859" s="70"/>
      <c r="G859" s="70"/>
      <c r="H859" s="69">
        <f>PRODUCT($CV$859,$CW$859,$CX$859,$CY$859)</f>
        <v>3</v>
      </c>
      <c r="I859" s="65"/>
      <c r="J859" s="65"/>
      <c r="CV859" s="8">
        <f>(3)</f>
        <v>3</v>
      </c>
      <c r="DF859" s="8" t="s">
        <v>514</v>
      </c>
    </row>
    <row r="860" spans="1:110" x14ac:dyDescent="0.25">
      <c r="C860" s="60" t="str">
        <f>CONCATENATE("SOMMANO " &amp; 'Elenco Prezzi'!$C$220)</f>
        <v>SOMMANO Cad. Uno</v>
      </c>
      <c r="D860" s="70"/>
      <c r="E860" s="70"/>
      <c r="F860" s="70"/>
      <c r="G860" s="70"/>
      <c r="H860" s="69">
        <f>SUM($H$859:$H$859)</f>
        <v>3</v>
      </c>
      <c r="I860" s="65">
        <f>('Elenco Prezzi'!$D$220)</f>
        <v>178</v>
      </c>
      <c r="J860" s="65">
        <f>PRODUCT($H$860,$I$860)</f>
        <v>534</v>
      </c>
      <c r="DF860" s="8" t="s">
        <v>514</v>
      </c>
    </row>
    <row r="861" spans="1:110" ht="31.5" x14ac:dyDescent="0.25">
      <c r="A861" s="3">
        <v>108</v>
      </c>
      <c r="B861" s="56" t="str">
        <f>('Elenco Prezzi'!$A$223)</f>
        <v>952.001</v>
      </c>
      <c r="C861" s="23" t="str">
        <f>('Elenco Prezzi'!$B$223)</f>
        <v>Gomito condotto rettangolare 300 x 300 zona bancomat</v>
      </c>
      <c r="D861" s="70"/>
      <c r="E861" s="70"/>
      <c r="F861" s="70"/>
      <c r="G861" s="70"/>
      <c r="H861" s="69"/>
      <c r="I861" s="65"/>
      <c r="J861" s="65"/>
      <c r="K861" s="58" t="s">
        <v>231</v>
      </c>
      <c r="L861" s="58" t="s">
        <v>232</v>
      </c>
      <c r="M861" s="58" t="s">
        <v>232</v>
      </c>
      <c r="N861" s="58" t="s">
        <v>234</v>
      </c>
      <c r="DF861" s="8" t="s">
        <v>514</v>
      </c>
    </row>
    <row r="862" spans="1:110" hidden="1" outlineLevel="1" x14ac:dyDescent="0.25">
      <c r="C862" s="57" t="str">
        <f>('Elenco Prezzi'!$B$224)</f>
        <v>Gomito condotto rettangolare 300 x 300 zona bancomat</v>
      </c>
      <c r="D862" s="70"/>
      <c r="E862" s="70"/>
      <c r="F862" s="70"/>
      <c r="G862" s="70"/>
      <c r="H862" s="69"/>
      <c r="I862" s="65"/>
      <c r="J862" s="65"/>
      <c r="DF862" s="8" t="s">
        <v>514</v>
      </c>
    </row>
    <row r="863" spans="1:110" hidden="1" outlineLevel="1" x14ac:dyDescent="0.25">
      <c r="C863" s="57" t="str">
        <f>('Elenco Prezzi'!$B$225)</f>
        <v>Gomito condotto rettangolare 300 x 300 zona bancomat</v>
      </c>
      <c r="D863" s="70"/>
      <c r="E863" s="70"/>
      <c r="F863" s="70"/>
      <c r="G863" s="70"/>
      <c r="H863" s="69"/>
      <c r="I863" s="65"/>
      <c r="J863" s="65"/>
      <c r="DF863" s="8" t="s">
        <v>514</v>
      </c>
    </row>
    <row r="864" spans="1:110" outlineLevel="1" x14ac:dyDescent="0.25">
      <c r="C864" s="59" t="s">
        <v>235</v>
      </c>
      <c r="D864" s="70"/>
      <c r="E864" s="70"/>
      <c r="F864" s="70"/>
      <c r="G864" s="70"/>
      <c r="H864" s="69"/>
      <c r="I864" s="65"/>
      <c r="J864" s="65"/>
      <c r="DF864" s="8" t="s">
        <v>514</v>
      </c>
    </row>
    <row r="865" spans="1:110" ht="31.5" outlineLevel="1" x14ac:dyDescent="0.25">
      <c r="C865" s="5" t="s">
        <v>481</v>
      </c>
      <c r="D865" s="70">
        <v>7</v>
      </c>
      <c r="E865" s="70"/>
      <c r="F865" s="70"/>
      <c r="G865" s="70"/>
      <c r="H865" s="69">
        <f>PRODUCT($CV$865,$CW$865,$CX$865,$CY$865)</f>
        <v>7</v>
      </c>
      <c r="I865" s="65"/>
      <c r="J865" s="65"/>
      <c r="CV865" s="8">
        <f>(7)</f>
        <v>7</v>
      </c>
      <c r="DF865" s="8" t="s">
        <v>514</v>
      </c>
    </row>
    <row r="866" spans="1:110" x14ac:dyDescent="0.25">
      <c r="C866" s="60" t="str">
        <f>CONCATENATE("SOMMANO " &amp; 'Elenco Prezzi'!$C$223)</f>
        <v>SOMMANO Cad. Uno</v>
      </c>
      <c r="D866" s="70"/>
      <c r="E866" s="70"/>
      <c r="F866" s="70"/>
      <c r="G866" s="70"/>
      <c r="H866" s="69">
        <f>SUM($H$865:$H$865)</f>
        <v>7</v>
      </c>
      <c r="I866" s="65">
        <f>('Elenco Prezzi'!$D$223)</f>
        <v>93</v>
      </c>
      <c r="J866" s="65">
        <f>PRODUCT($H$866,$I$866)</f>
        <v>651</v>
      </c>
      <c r="DF866" s="8" t="s">
        <v>514</v>
      </c>
    </row>
    <row r="867" spans="1:110" ht="31.5" x14ac:dyDescent="0.25">
      <c r="A867" s="3">
        <v>109</v>
      </c>
      <c r="B867" s="56" t="str">
        <f>('Elenco Prezzi'!$A$226)</f>
        <v>952.002</v>
      </c>
      <c r="C867" s="23" t="str">
        <f>('Elenco Prezzi'!$B$226)</f>
        <v>Transizione condotto rettangolare 15° zona bancomat</v>
      </c>
      <c r="D867" s="70"/>
      <c r="E867" s="70"/>
      <c r="F867" s="70"/>
      <c r="G867" s="70"/>
      <c r="H867" s="69"/>
      <c r="I867" s="65"/>
      <c r="J867" s="65"/>
      <c r="K867" s="58" t="s">
        <v>231</v>
      </c>
      <c r="L867" s="58" t="s">
        <v>232</v>
      </c>
      <c r="M867" s="58" t="s">
        <v>232</v>
      </c>
      <c r="N867" s="58" t="s">
        <v>234</v>
      </c>
      <c r="DF867" s="8" t="s">
        <v>514</v>
      </c>
    </row>
    <row r="868" spans="1:110" hidden="1" outlineLevel="1" x14ac:dyDescent="0.25">
      <c r="C868" s="57" t="str">
        <f>('Elenco Prezzi'!$B$227)</f>
        <v>Transizione condotto rettangolare 15° zona bancomat</v>
      </c>
      <c r="D868" s="70"/>
      <c r="E868" s="70"/>
      <c r="F868" s="70"/>
      <c r="G868" s="70"/>
      <c r="H868" s="69"/>
      <c r="I868" s="65"/>
      <c r="J868" s="65"/>
      <c r="DF868" s="8" t="s">
        <v>514</v>
      </c>
    </row>
    <row r="869" spans="1:110" hidden="1" outlineLevel="1" x14ac:dyDescent="0.25">
      <c r="C869" s="57" t="str">
        <f>('Elenco Prezzi'!$B$228)</f>
        <v>Transizione condotto rettangolare 15° zona bancomat</v>
      </c>
      <c r="D869" s="70"/>
      <c r="E869" s="70"/>
      <c r="F869" s="70"/>
      <c r="G869" s="70"/>
      <c r="H869" s="69"/>
      <c r="I869" s="65"/>
      <c r="J869" s="65"/>
      <c r="DF869" s="8" t="s">
        <v>514</v>
      </c>
    </row>
    <row r="870" spans="1:110" outlineLevel="1" x14ac:dyDescent="0.25">
      <c r="C870" s="59" t="s">
        <v>235</v>
      </c>
      <c r="D870" s="70"/>
      <c r="E870" s="70"/>
      <c r="F870" s="70"/>
      <c r="G870" s="70"/>
      <c r="H870" s="69"/>
      <c r="I870" s="65"/>
      <c r="J870" s="65"/>
      <c r="DF870" s="8" t="s">
        <v>514</v>
      </c>
    </row>
    <row r="871" spans="1:110" outlineLevel="1" x14ac:dyDescent="0.25">
      <c r="C871" s="5" t="s">
        <v>482</v>
      </c>
      <c r="D871" s="70">
        <v>8</v>
      </c>
      <c r="E871" s="70"/>
      <c r="F871" s="70"/>
      <c r="G871" s="70"/>
      <c r="H871" s="69">
        <f>PRODUCT($CV$871,$CW$871,$CX$871,$CY$871)</f>
        <v>8</v>
      </c>
      <c r="I871" s="65"/>
      <c r="J871" s="65"/>
      <c r="CV871" s="8">
        <f>(8)</f>
        <v>8</v>
      </c>
      <c r="DF871" s="8" t="s">
        <v>514</v>
      </c>
    </row>
    <row r="872" spans="1:110" x14ac:dyDescent="0.25">
      <c r="C872" s="60" t="str">
        <f>CONCATENATE("SOMMANO " &amp; 'Elenco Prezzi'!$C$226)</f>
        <v>SOMMANO Cad. Uno</v>
      </c>
      <c r="D872" s="70"/>
      <c r="E872" s="70"/>
      <c r="F872" s="70"/>
      <c r="G872" s="70"/>
      <c r="H872" s="69">
        <f>SUM($H$871:$H$871)</f>
        <v>8</v>
      </c>
      <c r="I872" s="65">
        <f>('Elenco Prezzi'!$D$226)</f>
        <v>132</v>
      </c>
      <c r="J872" s="65">
        <f>PRODUCT($H$872,$I$872)</f>
        <v>1056</v>
      </c>
      <c r="DF872" s="8" t="s">
        <v>514</v>
      </c>
    </row>
    <row r="873" spans="1:110" ht="31.5" x14ac:dyDescent="0.25">
      <c r="A873" s="3">
        <v>110</v>
      </c>
      <c r="B873" s="56" t="str">
        <f>('Elenco Prezzi'!$A$229)</f>
        <v>952.003</v>
      </c>
      <c r="C873" s="23" t="str">
        <f>('Elenco Prezzi'!$B$229)</f>
        <v>Raccordo a T per condotto rettangolare zona bancomat</v>
      </c>
      <c r="D873" s="70"/>
      <c r="E873" s="70"/>
      <c r="F873" s="70"/>
      <c r="G873" s="70"/>
      <c r="H873" s="69"/>
      <c r="I873" s="65"/>
      <c r="J873" s="65"/>
      <c r="K873" s="58" t="s">
        <v>231</v>
      </c>
      <c r="L873" s="58" t="s">
        <v>232</v>
      </c>
      <c r="M873" s="58" t="s">
        <v>232</v>
      </c>
      <c r="N873" s="58" t="s">
        <v>234</v>
      </c>
      <c r="DF873" s="8" t="s">
        <v>514</v>
      </c>
    </row>
    <row r="874" spans="1:110" hidden="1" outlineLevel="1" x14ac:dyDescent="0.25">
      <c r="C874" s="57" t="str">
        <f>('Elenco Prezzi'!$B$230)</f>
        <v>Raccordo a T per condotto rettangolare zona bancomat</v>
      </c>
      <c r="D874" s="70"/>
      <c r="E874" s="70"/>
      <c r="F874" s="70"/>
      <c r="G874" s="70"/>
      <c r="H874" s="69"/>
      <c r="I874" s="65"/>
      <c r="J874" s="65"/>
      <c r="DF874" s="8" t="s">
        <v>514</v>
      </c>
    </row>
    <row r="875" spans="1:110" hidden="1" outlineLevel="1" x14ac:dyDescent="0.25">
      <c r="C875" s="57" t="str">
        <f>('Elenco Prezzi'!$B$231)</f>
        <v>Raccordo a T per condotto rettangolare zona bancomat</v>
      </c>
      <c r="D875" s="70"/>
      <c r="E875" s="70"/>
      <c r="F875" s="70"/>
      <c r="G875" s="70"/>
      <c r="H875" s="69"/>
      <c r="I875" s="65"/>
      <c r="J875" s="65"/>
      <c r="DF875" s="8" t="s">
        <v>514</v>
      </c>
    </row>
    <row r="876" spans="1:110" outlineLevel="1" x14ac:dyDescent="0.25">
      <c r="C876" s="59" t="s">
        <v>235</v>
      </c>
      <c r="D876" s="70"/>
      <c r="E876" s="70"/>
      <c r="F876" s="70"/>
      <c r="G876" s="70"/>
      <c r="H876" s="69"/>
      <c r="I876" s="65"/>
      <c r="J876" s="65"/>
      <c r="DF876" s="8" t="s">
        <v>514</v>
      </c>
    </row>
    <row r="877" spans="1:110" ht="31.5" outlineLevel="1" x14ac:dyDescent="0.25">
      <c r="C877" s="5" t="s">
        <v>483</v>
      </c>
      <c r="D877" s="70">
        <v>2</v>
      </c>
      <c r="E877" s="70"/>
      <c r="F877" s="70"/>
      <c r="G877" s="70"/>
      <c r="H877" s="69">
        <f>PRODUCT($CV$877,$CW$877,$CX$877,$CY$877)</f>
        <v>2</v>
      </c>
      <c r="I877" s="65"/>
      <c r="J877" s="65"/>
      <c r="CV877" s="8">
        <f>(2)</f>
        <v>2</v>
      </c>
      <c r="DF877" s="8" t="s">
        <v>514</v>
      </c>
    </row>
    <row r="878" spans="1:110" x14ac:dyDescent="0.25">
      <c r="C878" s="60" t="str">
        <f>CONCATENATE("SOMMANO " &amp; 'Elenco Prezzi'!$C$229)</f>
        <v>SOMMANO Cad. Uno</v>
      </c>
      <c r="D878" s="70"/>
      <c r="E878" s="70"/>
      <c r="F878" s="70"/>
      <c r="G878" s="70"/>
      <c r="H878" s="69">
        <f>SUM($H$877:$H$877)</f>
        <v>2</v>
      </c>
      <c r="I878" s="65">
        <f>('Elenco Prezzi'!$D$229)</f>
        <v>145</v>
      </c>
      <c r="J878" s="65">
        <f>PRODUCT($H$878,$I$878)</f>
        <v>290</v>
      </c>
      <c r="DF878" s="8" t="s">
        <v>514</v>
      </c>
    </row>
    <row r="879" spans="1:110" ht="31.5" x14ac:dyDescent="0.25">
      <c r="A879" s="3">
        <v>111</v>
      </c>
      <c r="B879" s="56" t="str">
        <f>('Elenco Prezzi'!$A$232)</f>
        <v>952.004</v>
      </c>
      <c r="C879" s="23" t="str">
        <f>('Elenco Prezzi'!$B$232)</f>
        <v>UTA - Azionamento diretto per zona bancomat</v>
      </c>
      <c r="D879" s="70"/>
      <c r="E879" s="70"/>
      <c r="F879" s="70"/>
      <c r="G879" s="70"/>
      <c r="H879" s="69"/>
      <c r="I879" s="65"/>
      <c r="J879" s="65"/>
      <c r="K879" s="58" t="s">
        <v>231</v>
      </c>
      <c r="L879" s="58" t="s">
        <v>232</v>
      </c>
      <c r="M879" s="58" t="s">
        <v>232</v>
      </c>
      <c r="N879" s="58" t="s">
        <v>234</v>
      </c>
      <c r="DF879" s="8" t="s">
        <v>514</v>
      </c>
    </row>
    <row r="880" spans="1:110" hidden="1" outlineLevel="1" x14ac:dyDescent="0.25">
      <c r="C880" s="57" t="str">
        <f>('Elenco Prezzi'!$B$233)</f>
        <v>UTA - Azionamento diretto per zona bancomat</v>
      </c>
      <c r="D880" s="70"/>
      <c r="E880" s="70"/>
      <c r="F880" s="70"/>
      <c r="G880" s="70"/>
      <c r="H880" s="69"/>
      <c r="I880" s="65"/>
      <c r="J880" s="65"/>
      <c r="DF880" s="8" t="s">
        <v>514</v>
      </c>
    </row>
    <row r="881" spans="1:110" hidden="1" outlineLevel="1" x14ac:dyDescent="0.25">
      <c r="C881" s="57" t="str">
        <f>('Elenco Prezzi'!$B$234)</f>
        <v>UTA - Azionamento diretto per zona bancomat</v>
      </c>
      <c r="D881" s="70"/>
      <c r="E881" s="70"/>
      <c r="F881" s="70"/>
      <c r="G881" s="70"/>
      <c r="H881" s="69"/>
      <c r="I881" s="65"/>
      <c r="J881" s="65"/>
      <c r="DF881" s="8" t="s">
        <v>514</v>
      </c>
    </row>
    <row r="882" spans="1:110" outlineLevel="1" x14ac:dyDescent="0.25">
      <c r="C882" s="59" t="s">
        <v>235</v>
      </c>
      <c r="D882" s="70"/>
      <c r="E882" s="70"/>
      <c r="F882" s="70"/>
      <c r="G882" s="70"/>
      <c r="H882" s="69"/>
      <c r="I882" s="65"/>
      <c r="J882" s="65"/>
      <c r="DF882" s="8" t="s">
        <v>514</v>
      </c>
    </row>
    <row r="883" spans="1:110" ht="31.5" outlineLevel="1" x14ac:dyDescent="0.25">
      <c r="C883" s="5" t="s">
        <v>484</v>
      </c>
      <c r="D883" s="70">
        <v>1</v>
      </c>
      <c r="E883" s="70"/>
      <c r="F883" s="70"/>
      <c r="G883" s="70"/>
      <c r="H883" s="69">
        <f>PRODUCT($CV$883,$CW$883,$CX$883,$CY$883)</f>
        <v>1</v>
      </c>
      <c r="I883" s="65"/>
      <c r="J883" s="65"/>
      <c r="CV883" s="8">
        <f>(1)</f>
        <v>1</v>
      </c>
      <c r="DF883" s="8" t="s">
        <v>514</v>
      </c>
    </row>
    <row r="884" spans="1:110" x14ac:dyDescent="0.25">
      <c r="C884" s="60" t="str">
        <f>CONCATENATE("SOMMANO " &amp; 'Elenco Prezzi'!$C$232)</f>
        <v>SOMMANO Cad. Uno</v>
      </c>
      <c r="D884" s="70"/>
      <c r="E884" s="70"/>
      <c r="F884" s="70"/>
      <c r="G884" s="70"/>
      <c r="H884" s="69">
        <f>SUM($H$883:$H$883)</f>
        <v>1</v>
      </c>
      <c r="I884" s="65">
        <f>('Elenco Prezzi'!$D$232)</f>
        <v>680</v>
      </c>
      <c r="J884" s="65">
        <f>PRODUCT($H$884,$I$884)</f>
        <v>680</v>
      </c>
      <c r="DF884" s="8" t="s">
        <v>514</v>
      </c>
    </row>
    <row r="885" spans="1:110" ht="31.5" x14ac:dyDescent="0.25">
      <c r="A885" s="3">
        <v>112</v>
      </c>
      <c r="B885" s="56" t="str">
        <f>('Elenco Prezzi'!$A$235)</f>
        <v>970.101</v>
      </c>
      <c r="C885" s="23" t="str">
        <f>('Elenco Prezzi'!$B$235)</f>
        <v>Bancomat completo di trasporto e posa</v>
      </c>
      <c r="D885" s="70"/>
      <c r="E885" s="70"/>
      <c r="F885" s="70"/>
      <c r="G885" s="70"/>
      <c r="H885" s="69"/>
      <c r="I885" s="65"/>
      <c r="J885" s="65"/>
      <c r="K885" s="58" t="s">
        <v>231</v>
      </c>
      <c r="L885" s="58" t="s">
        <v>232</v>
      </c>
      <c r="M885" s="58" t="s">
        <v>232</v>
      </c>
      <c r="N885" s="58" t="s">
        <v>234</v>
      </c>
      <c r="DF885" s="8" t="s">
        <v>514</v>
      </c>
    </row>
    <row r="886" spans="1:110" hidden="1" outlineLevel="1" x14ac:dyDescent="0.25">
      <c r="C886" s="57" t="str">
        <f>('Elenco Prezzi'!$B$236)</f>
        <v>Bancomat completo di trasporto e posa</v>
      </c>
      <c r="D886" s="70"/>
      <c r="E886" s="70"/>
      <c r="F886" s="70"/>
      <c r="G886" s="70"/>
      <c r="H886" s="69"/>
      <c r="I886" s="65"/>
      <c r="J886" s="65"/>
      <c r="DF886" s="8" t="s">
        <v>514</v>
      </c>
    </row>
    <row r="887" spans="1:110" hidden="1" outlineLevel="1" x14ac:dyDescent="0.25">
      <c r="C887" s="57" t="str">
        <f>('Elenco Prezzi'!$B$237)</f>
        <v>Bancomat completo di trasporto e posa</v>
      </c>
      <c r="D887" s="70"/>
      <c r="E887" s="70"/>
      <c r="F887" s="70"/>
      <c r="G887" s="70"/>
      <c r="H887" s="69"/>
      <c r="I887" s="65"/>
      <c r="J887" s="65"/>
      <c r="DF887" s="8" t="s">
        <v>514</v>
      </c>
    </row>
    <row r="888" spans="1:110" outlineLevel="1" x14ac:dyDescent="0.25">
      <c r="C888" s="59" t="s">
        <v>235</v>
      </c>
      <c r="D888" s="70"/>
      <c r="E888" s="70"/>
      <c r="F888" s="70"/>
      <c r="G888" s="70"/>
      <c r="H888" s="69"/>
      <c r="I888" s="65"/>
      <c r="J888" s="65"/>
      <c r="DF888" s="8" t="s">
        <v>514</v>
      </c>
    </row>
    <row r="889" spans="1:110" ht="31.5" outlineLevel="1" x14ac:dyDescent="0.25">
      <c r="C889" s="5" t="s">
        <v>485</v>
      </c>
      <c r="D889" s="70">
        <v>3</v>
      </c>
      <c r="E889" s="70"/>
      <c r="F889" s="70"/>
      <c r="G889" s="70"/>
      <c r="H889" s="69">
        <f>PRODUCT($CV$889,$CW$889,$CX$889,$CY$889)</f>
        <v>3</v>
      </c>
      <c r="I889" s="65"/>
      <c r="J889" s="65"/>
      <c r="CV889" s="8">
        <f>(3)</f>
        <v>3</v>
      </c>
      <c r="DF889" s="8" t="s">
        <v>514</v>
      </c>
    </row>
    <row r="890" spans="1:110" x14ac:dyDescent="0.25">
      <c r="C890" s="60" t="str">
        <f>CONCATENATE("SOMMANO " &amp; 'Elenco Prezzi'!$C$235)</f>
        <v>SOMMANO m2</v>
      </c>
      <c r="D890" s="70"/>
      <c r="E890" s="70"/>
      <c r="F890" s="70"/>
      <c r="G890" s="70"/>
      <c r="H890" s="69">
        <f>SUM($H$889:$H$889)</f>
        <v>3</v>
      </c>
      <c r="I890" s="65">
        <f>('Elenco Prezzi'!$D$235)</f>
        <v>18</v>
      </c>
      <c r="J890" s="65">
        <f>PRODUCT($H$890,$I$890)</f>
        <v>54</v>
      </c>
      <c r="DF890" s="8" t="s">
        <v>514</v>
      </c>
    </row>
    <row r="891" spans="1:110" ht="31.5" x14ac:dyDescent="0.25">
      <c r="A891" s="3">
        <v>113</v>
      </c>
      <c r="B891" s="56" t="str">
        <f>('Elenco Prezzi'!$A$238)</f>
        <v>980.001</v>
      </c>
      <c r="C891" s="23" t="str">
        <f>('Elenco Prezzi'!$B$238)</f>
        <v>Sanitari - Lavandino</v>
      </c>
      <c r="D891" s="70"/>
      <c r="E891" s="70"/>
      <c r="F891" s="70"/>
      <c r="G891" s="70"/>
      <c r="H891" s="69"/>
      <c r="I891" s="65"/>
      <c r="J891" s="65"/>
      <c r="K891" s="58" t="s">
        <v>231</v>
      </c>
      <c r="L891" s="58" t="s">
        <v>232</v>
      </c>
      <c r="M891" s="58" t="s">
        <v>232</v>
      </c>
      <c r="N891" s="58" t="s">
        <v>234</v>
      </c>
      <c r="DF891" s="8" t="s">
        <v>514</v>
      </c>
    </row>
    <row r="892" spans="1:110" hidden="1" outlineLevel="1" x14ac:dyDescent="0.25">
      <c r="C892" s="57" t="str">
        <f>('Elenco Prezzi'!$B$239)</f>
        <v>Sanitari - Lavandino</v>
      </c>
      <c r="D892" s="70"/>
      <c r="E892" s="70"/>
      <c r="F892" s="70"/>
      <c r="G892" s="70"/>
      <c r="H892" s="69"/>
      <c r="I892" s="65"/>
      <c r="J892" s="65"/>
      <c r="DF892" s="8" t="s">
        <v>514</v>
      </c>
    </row>
    <row r="893" spans="1:110" hidden="1" outlineLevel="1" x14ac:dyDescent="0.25">
      <c r="C893" s="57" t="str">
        <f>('Elenco Prezzi'!$B$240)</f>
        <v>Sanitari - Lavandino</v>
      </c>
      <c r="D893" s="70"/>
      <c r="E893" s="70"/>
      <c r="F893" s="70"/>
      <c r="G893" s="70"/>
      <c r="H893" s="69"/>
      <c r="I893" s="65"/>
      <c r="J893" s="65"/>
      <c r="DF893" s="8" t="s">
        <v>514</v>
      </c>
    </row>
    <row r="894" spans="1:110" outlineLevel="1" x14ac:dyDescent="0.25">
      <c r="C894" s="59" t="s">
        <v>235</v>
      </c>
      <c r="D894" s="70"/>
      <c r="E894" s="70"/>
      <c r="F894" s="70"/>
      <c r="G894" s="70"/>
      <c r="H894" s="69"/>
      <c r="I894" s="65"/>
      <c r="J894" s="65"/>
      <c r="DF894" s="8" t="s">
        <v>514</v>
      </c>
    </row>
    <row r="895" spans="1:110" outlineLevel="1" x14ac:dyDescent="0.25">
      <c r="C895" s="5" t="s">
        <v>486</v>
      </c>
      <c r="D895" s="70">
        <v>1</v>
      </c>
      <c r="E895" s="70"/>
      <c r="F895" s="70"/>
      <c r="G895" s="70"/>
      <c r="H895" s="69">
        <f>PRODUCT($CV$895,$CW$895,$CX$895,$CY$895)</f>
        <v>1</v>
      </c>
      <c r="I895" s="65"/>
      <c r="J895" s="65"/>
      <c r="CV895" s="8">
        <f>(1)</f>
        <v>1</v>
      </c>
      <c r="DF895" s="8" t="s">
        <v>514</v>
      </c>
    </row>
    <row r="896" spans="1:110" x14ac:dyDescent="0.25">
      <c r="C896" s="60" t="str">
        <f>CONCATENATE("SOMMANO " &amp; 'Elenco Prezzi'!$C$238)</f>
        <v>SOMMANO Cad. Uno</v>
      </c>
      <c r="D896" s="70"/>
      <c r="E896" s="70"/>
      <c r="F896" s="70"/>
      <c r="G896" s="70"/>
      <c r="H896" s="69">
        <f>SUM($H$895:$H$895)</f>
        <v>1</v>
      </c>
      <c r="I896" s="65">
        <f>('Elenco Prezzi'!$D$238)</f>
        <v>212</v>
      </c>
      <c r="J896" s="65">
        <f>PRODUCT($H$896,$I$896)</f>
        <v>212</v>
      </c>
      <c r="DF896" s="8" t="s">
        <v>514</v>
      </c>
    </row>
    <row r="897" spans="1:110" ht="31.5" x14ac:dyDescent="0.25">
      <c r="A897" s="3">
        <v>114</v>
      </c>
      <c r="B897" s="56" t="str">
        <f>('Elenco Prezzi'!$A$241)</f>
        <v>980.002</v>
      </c>
      <c r="C897" s="23" t="str">
        <f>('Elenco Prezzi'!$B$241)</f>
        <v>Sanitari - WC</v>
      </c>
      <c r="D897" s="70"/>
      <c r="E897" s="70"/>
      <c r="F897" s="70"/>
      <c r="G897" s="70"/>
      <c r="H897" s="69"/>
      <c r="I897" s="65"/>
      <c r="J897" s="65"/>
      <c r="K897" s="58" t="s">
        <v>231</v>
      </c>
      <c r="L897" s="58" t="s">
        <v>232</v>
      </c>
      <c r="M897" s="58" t="s">
        <v>232</v>
      </c>
      <c r="N897" s="58" t="s">
        <v>234</v>
      </c>
      <c r="DF897" s="8" t="s">
        <v>514</v>
      </c>
    </row>
    <row r="898" spans="1:110" hidden="1" outlineLevel="1" x14ac:dyDescent="0.25">
      <c r="C898" s="57" t="str">
        <f>('Elenco Prezzi'!$B$242)</f>
        <v>Sanitari - WC</v>
      </c>
      <c r="D898" s="70"/>
      <c r="E898" s="70"/>
      <c r="F898" s="70"/>
      <c r="G898" s="70"/>
      <c r="H898" s="69"/>
      <c r="I898" s="65"/>
      <c r="J898" s="65"/>
      <c r="DF898" s="8" t="s">
        <v>514</v>
      </c>
    </row>
    <row r="899" spans="1:110" hidden="1" outlineLevel="1" x14ac:dyDescent="0.25">
      <c r="C899" s="57" t="str">
        <f>('Elenco Prezzi'!$B$243)</f>
        <v>Sanitari - WC</v>
      </c>
      <c r="D899" s="70"/>
      <c r="E899" s="70"/>
      <c r="F899" s="70"/>
      <c r="G899" s="70"/>
      <c r="H899" s="69"/>
      <c r="I899" s="65"/>
      <c r="J899" s="65"/>
      <c r="DF899" s="8" t="s">
        <v>514</v>
      </c>
    </row>
    <row r="900" spans="1:110" outlineLevel="1" x14ac:dyDescent="0.25">
      <c r="C900" s="59" t="s">
        <v>235</v>
      </c>
      <c r="D900" s="70"/>
      <c r="E900" s="70"/>
      <c r="F900" s="70"/>
      <c r="G900" s="70"/>
      <c r="H900" s="69"/>
      <c r="I900" s="65"/>
      <c r="J900" s="65"/>
      <c r="DF900" s="8" t="s">
        <v>514</v>
      </c>
    </row>
    <row r="901" spans="1:110" ht="31.5" outlineLevel="1" x14ac:dyDescent="0.25">
      <c r="C901" s="5" t="s">
        <v>487</v>
      </c>
      <c r="D901" s="70">
        <v>1</v>
      </c>
      <c r="E901" s="70"/>
      <c r="F901" s="70"/>
      <c r="G901" s="70"/>
      <c r="H901" s="69">
        <f>PRODUCT($CV$901,$CW$901,$CX$901,$CY$901)</f>
        <v>1</v>
      </c>
      <c r="I901" s="65"/>
      <c r="J901" s="65"/>
      <c r="CV901" s="8">
        <f>(1)</f>
        <v>1</v>
      </c>
      <c r="DF901" s="8" t="s">
        <v>514</v>
      </c>
    </row>
    <row r="902" spans="1:110" x14ac:dyDescent="0.25">
      <c r="C902" s="60" t="str">
        <f>CONCATENATE("SOMMANO " &amp; 'Elenco Prezzi'!$C$241)</f>
        <v>SOMMANO Cad. Uno</v>
      </c>
      <c r="D902" s="70"/>
      <c r="E902" s="70"/>
      <c r="F902" s="70"/>
      <c r="G902" s="70"/>
      <c r="H902" s="69">
        <f>SUM($H$901:$H$901)</f>
        <v>1</v>
      </c>
      <c r="I902" s="65">
        <f>('Elenco Prezzi'!$D$241)</f>
        <v>190</v>
      </c>
      <c r="J902" s="65">
        <f>PRODUCT($H$902,$I$902)</f>
        <v>190</v>
      </c>
      <c r="DF902" s="8" t="s">
        <v>514</v>
      </c>
    </row>
    <row r="903" spans="1:110" ht="31.5" x14ac:dyDescent="0.25">
      <c r="A903" s="3">
        <v>115</v>
      </c>
      <c r="B903" s="56" t="str">
        <f>('Elenco Prezzi'!$A$244)</f>
        <v>980.003</v>
      </c>
      <c r="C903" s="23" t="str">
        <f>('Elenco Prezzi'!$B$244)</f>
        <v>Sanitari - Bidet</v>
      </c>
      <c r="D903" s="70"/>
      <c r="E903" s="70"/>
      <c r="F903" s="70"/>
      <c r="G903" s="70"/>
      <c r="H903" s="69"/>
      <c r="I903" s="65"/>
      <c r="J903" s="65"/>
      <c r="K903" s="58" t="s">
        <v>231</v>
      </c>
      <c r="L903" s="58" t="s">
        <v>232</v>
      </c>
      <c r="M903" s="58" t="s">
        <v>232</v>
      </c>
      <c r="N903" s="58" t="s">
        <v>234</v>
      </c>
      <c r="DF903" s="8" t="s">
        <v>514</v>
      </c>
    </row>
    <row r="904" spans="1:110" hidden="1" outlineLevel="1" x14ac:dyDescent="0.25">
      <c r="C904" s="57" t="str">
        <f>('Elenco Prezzi'!$B$245)</f>
        <v>Sanitari - Bidet</v>
      </c>
      <c r="D904" s="70"/>
      <c r="E904" s="70"/>
      <c r="F904" s="70"/>
      <c r="G904" s="70"/>
      <c r="H904" s="69"/>
      <c r="I904" s="65"/>
      <c r="J904" s="65"/>
      <c r="DF904" s="8" t="s">
        <v>514</v>
      </c>
    </row>
    <row r="905" spans="1:110" hidden="1" outlineLevel="1" x14ac:dyDescent="0.25">
      <c r="C905" s="57" t="str">
        <f>('Elenco Prezzi'!$B$246)</f>
        <v>Sanitari - Bidet</v>
      </c>
      <c r="D905" s="70"/>
      <c r="E905" s="70"/>
      <c r="F905" s="70"/>
      <c r="G905" s="70"/>
      <c r="H905" s="69"/>
      <c r="I905" s="65"/>
      <c r="J905" s="65"/>
      <c r="DF905" s="8" t="s">
        <v>514</v>
      </c>
    </row>
    <row r="906" spans="1:110" outlineLevel="1" x14ac:dyDescent="0.25">
      <c r="C906" s="59" t="s">
        <v>235</v>
      </c>
      <c r="D906" s="70"/>
      <c r="E906" s="70"/>
      <c r="F906" s="70"/>
      <c r="G906" s="70"/>
      <c r="H906" s="69"/>
      <c r="I906" s="65"/>
      <c r="J906" s="65"/>
      <c r="DF906" s="8" t="s">
        <v>514</v>
      </c>
    </row>
    <row r="907" spans="1:110" outlineLevel="1" x14ac:dyDescent="0.25">
      <c r="C907" s="5" t="s">
        <v>488</v>
      </c>
      <c r="D907" s="70">
        <v>1</v>
      </c>
      <c r="E907" s="70"/>
      <c r="F907" s="70"/>
      <c r="G907" s="70"/>
      <c r="H907" s="69">
        <f>PRODUCT($CV$907,$CW$907,$CX$907,$CY$907)</f>
        <v>1</v>
      </c>
      <c r="I907" s="65"/>
      <c r="J907" s="65"/>
      <c r="CV907" s="8">
        <f>(1)</f>
        <v>1</v>
      </c>
      <c r="DF907" s="8" t="s">
        <v>514</v>
      </c>
    </row>
    <row r="908" spans="1:110" x14ac:dyDescent="0.25">
      <c r="C908" s="60" t="str">
        <f>CONCATENATE("SOMMANO " &amp; 'Elenco Prezzi'!$C$244)</f>
        <v>SOMMANO Cad. Uno</v>
      </c>
      <c r="D908" s="70"/>
      <c r="E908" s="70"/>
      <c r="F908" s="70"/>
      <c r="G908" s="70"/>
      <c r="H908" s="69">
        <f>SUM($H$907:$H$907)</f>
        <v>1</v>
      </c>
      <c r="I908" s="65">
        <f>('Elenco Prezzi'!$D$244)</f>
        <v>165</v>
      </c>
      <c r="J908" s="65">
        <f>PRODUCT($H$908,$I$908)</f>
        <v>165</v>
      </c>
      <c r="DF908" s="8" t="s">
        <v>514</v>
      </c>
    </row>
    <row r="909" spans="1:110" ht="31.5" x14ac:dyDescent="0.25">
      <c r="A909" s="3">
        <v>116</v>
      </c>
      <c r="B909" s="56" t="str">
        <f>('Elenco Prezzi'!$A$247)</f>
        <v>981.002</v>
      </c>
      <c r="C909" s="23" t="str">
        <f>('Elenco Prezzi'!$B$247)</f>
        <v>Tubazione scarico - 32mm</v>
      </c>
      <c r="D909" s="70"/>
      <c r="E909" s="70"/>
      <c r="F909" s="70"/>
      <c r="G909" s="70"/>
      <c r="H909" s="69"/>
      <c r="I909" s="65"/>
      <c r="J909" s="65"/>
      <c r="K909" s="58" t="s">
        <v>231</v>
      </c>
      <c r="L909" s="58" t="s">
        <v>232</v>
      </c>
      <c r="M909" s="58" t="s">
        <v>232</v>
      </c>
      <c r="N909" s="58" t="s">
        <v>234</v>
      </c>
      <c r="DF909" s="8" t="s">
        <v>514</v>
      </c>
    </row>
    <row r="910" spans="1:110" hidden="1" outlineLevel="1" x14ac:dyDescent="0.25">
      <c r="C910" s="57" t="str">
        <f>('Elenco Prezzi'!$B$248)</f>
        <v>Tubazione scarico - 32mm</v>
      </c>
      <c r="D910" s="70"/>
      <c r="E910" s="70"/>
      <c r="F910" s="70"/>
      <c r="G910" s="70"/>
      <c r="H910" s="69"/>
      <c r="I910" s="65"/>
      <c r="J910" s="65"/>
      <c r="DF910" s="8" t="s">
        <v>514</v>
      </c>
    </row>
    <row r="911" spans="1:110" hidden="1" outlineLevel="1" x14ac:dyDescent="0.25">
      <c r="C911" s="57" t="str">
        <f>('Elenco Prezzi'!$B$249)</f>
        <v>Tubazione scarico - 32mm</v>
      </c>
      <c r="D911" s="70"/>
      <c r="E911" s="70"/>
      <c r="F911" s="70"/>
      <c r="G911" s="70"/>
      <c r="H911" s="69"/>
      <c r="I911" s="65"/>
      <c r="J911" s="65"/>
      <c r="DF911" s="8" t="s">
        <v>514</v>
      </c>
    </row>
    <row r="912" spans="1:110" outlineLevel="1" x14ac:dyDescent="0.25">
      <c r="C912" s="59" t="s">
        <v>235</v>
      </c>
      <c r="D912" s="70"/>
      <c r="E912" s="70"/>
      <c r="F912" s="70"/>
      <c r="G912" s="70"/>
      <c r="H912" s="69"/>
      <c r="I912" s="65"/>
      <c r="J912" s="65"/>
      <c r="DF912" s="8" t="s">
        <v>514</v>
      </c>
    </row>
    <row r="913" spans="1:110" outlineLevel="1" x14ac:dyDescent="0.25">
      <c r="C913" s="5" t="s">
        <v>489</v>
      </c>
      <c r="D913" s="70"/>
      <c r="E913" s="70">
        <v>1.1759999999999999</v>
      </c>
      <c r="F913" s="70"/>
      <c r="G913" s="70"/>
      <c r="H913" s="69">
        <f>PRODUCT($CV$913,$CW$913,$CX$913,$CY$913)</f>
        <v>1.1759999999999999</v>
      </c>
      <c r="I913" s="65"/>
      <c r="J913" s="65"/>
      <c r="CW913" s="8">
        <f>(1.176)</f>
        <v>1.1759999999999999</v>
      </c>
      <c r="DF913" s="8" t="s">
        <v>514</v>
      </c>
    </row>
    <row r="914" spans="1:110" outlineLevel="1" x14ac:dyDescent="0.25">
      <c r="C914" s="5" t="s">
        <v>490</v>
      </c>
      <c r="D914" s="70"/>
      <c r="E914" s="70">
        <v>1.7010000000000001</v>
      </c>
      <c r="F914" s="70"/>
      <c r="G914" s="70"/>
      <c r="H914" s="69">
        <f>PRODUCT($CV$914,$CW$914,$CX$914,$CY$914)</f>
        <v>1.7010000000000001</v>
      </c>
      <c r="I914" s="65"/>
      <c r="J914" s="65"/>
      <c r="CW914" s="8">
        <f>(1.701)</f>
        <v>1.7010000000000001</v>
      </c>
      <c r="DF914" s="8" t="s">
        <v>514</v>
      </c>
    </row>
    <row r="915" spans="1:110" x14ac:dyDescent="0.25">
      <c r="C915" s="60" t="str">
        <f>CONCATENATE("SOMMANO " &amp; 'Elenco Prezzi'!$C$247)</f>
        <v>SOMMANO m</v>
      </c>
      <c r="D915" s="70"/>
      <c r="E915" s="70"/>
      <c r="F915" s="70"/>
      <c r="G915" s="70"/>
      <c r="H915" s="69">
        <f>SUM($H$913:$H$914)</f>
        <v>2.8769999999999998</v>
      </c>
      <c r="I915" s="65">
        <f>('Elenco Prezzi'!$D$247)</f>
        <v>6</v>
      </c>
      <c r="J915" s="65">
        <f>PRODUCT($H$915,$I$915)</f>
        <v>17.262</v>
      </c>
      <c r="DF915" s="8" t="s">
        <v>514</v>
      </c>
    </row>
    <row r="916" spans="1:110" ht="31.5" x14ac:dyDescent="0.25">
      <c r="A916" s="3">
        <v>117</v>
      </c>
      <c r="B916" s="56" t="str">
        <f>('Elenco Prezzi'!$A$250)</f>
        <v>981.003</v>
      </c>
      <c r="C916" s="23" t="str">
        <f>('Elenco Prezzi'!$B$250)</f>
        <v>Tubazione scarico - 40mm</v>
      </c>
      <c r="D916" s="70"/>
      <c r="E916" s="70"/>
      <c r="F916" s="70"/>
      <c r="G916" s="70"/>
      <c r="H916" s="69"/>
      <c r="I916" s="65"/>
      <c r="J916" s="65"/>
      <c r="K916" s="58" t="s">
        <v>231</v>
      </c>
      <c r="L916" s="58" t="s">
        <v>232</v>
      </c>
      <c r="M916" s="58" t="s">
        <v>232</v>
      </c>
      <c r="N916" s="58" t="s">
        <v>234</v>
      </c>
      <c r="DF916" s="8" t="s">
        <v>514</v>
      </c>
    </row>
    <row r="917" spans="1:110" hidden="1" outlineLevel="1" x14ac:dyDescent="0.25">
      <c r="C917" s="57" t="str">
        <f>('Elenco Prezzi'!$B$251)</f>
        <v>Tubazione scarico - 40mm</v>
      </c>
      <c r="D917" s="70"/>
      <c r="E917" s="70"/>
      <c r="F917" s="70"/>
      <c r="G917" s="70"/>
      <c r="H917" s="69"/>
      <c r="I917" s="65"/>
      <c r="J917" s="65"/>
      <c r="DF917" s="8" t="s">
        <v>514</v>
      </c>
    </row>
    <row r="918" spans="1:110" hidden="1" outlineLevel="1" x14ac:dyDescent="0.25">
      <c r="C918" s="57" t="str">
        <f>('Elenco Prezzi'!$B$252)</f>
        <v>Tubazione scarico - 40mm</v>
      </c>
      <c r="D918" s="70"/>
      <c r="E918" s="70"/>
      <c r="F918" s="70"/>
      <c r="G918" s="70"/>
      <c r="H918" s="69"/>
      <c r="I918" s="65"/>
      <c r="J918" s="65"/>
      <c r="DF918" s="8" t="s">
        <v>514</v>
      </c>
    </row>
    <row r="919" spans="1:110" outlineLevel="1" x14ac:dyDescent="0.25">
      <c r="C919" s="59" t="s">
        <v>235</v>
      </c>
      <c r="D919" s="70"/>
      <c r="E919" s="70"/>
      <c r="F919" s="70"/>
      <c r="G919" s="70"/>
      <c r="H919" s="69"/>
      <c r="I919" s="65"/>
      <c r="J919" s="65"/>
      <c r="DF919" s="8" t="s">
        <v>514</v>
      </c>
    </row>
    <row r="920" spans="1:110" outlineLevel="1" x14ac:dyDescent="0.25">
      <c r="C920" s="5" t="s">
        <v>491</v>
      </c>
      <c r="D920" s="70"/>
      <c r="E920" s="70">
        <v>1.1439999999999999</v>
      </c>
      <c r="F920" s="70"/>
      <c r="G920" s="70"/>
      <c r="H920" s="69">
        <f>PRODUCT($CV$920,$CW$920,$CX$920,$CY$920)</f>
        <v>1.1439999999999999</v>
      </c>
      <c r="I920" s="65"/>
      <c r="J920" s="65"/>
      <c r="CW920" s="8">
        <f>(1.144)</f>
        <v>1.1439999999999999</v>
      </c>
      <c r="DF920" s="8" t="s">
        <v>514</v>
      </c>
    </row>
    <row r="921" spans="1:110" outlineLevel="1" x14ac:dyDescent="0.25">
      <c r="C921" s="5" t="s">
        <v>492</v>
      </c>
      <c r="D921" s="70"/>
      <c r="E921" s="70">
        <v>0.61499999999999999</v>
      </c>
      <c r="F921" s="70"/>
      <c r="G921" s="70"/>
      <c r="H921" s="69">
        <f>PRODUCT($CV$921,$CW$921,$CX$921,$CY$921)</f>
        <v>0.61499999999999999</v>
      </c>
      <c r="I921" s="65"/>
      <c r="J921" s="65"/>
      <c r="CW921" s="8">
        <f>(0.615)</f>
        <v>0.61499999999999999</v>
      </c>
      <c r="DF921" s="8" t="s">
        <v>514</v>
      </c>
    </row>
    <row r="922" spans="1:110" outlineLevel="1" x14ac:dyDescent="0.25">
      <c r="C922" s="5" t="s">
        <v>493</v>
      </c>
      <c r="D922" s="70"/>
      <c r="E922" s="70">
        <v>1.0980000000000001</v>
      </c>
      <c r="F922" s="70"/>
      <c r="G922" s="70"/>
      <c r="H922" s="69">
        <f>PRODUCT($CV$922,$CW$922,$CX$922,$CY$922)</f>
        <v>1.0980000000000001</v>
      </c>
      <c r="I922" s="65"/>
      <c r="J922" s="65"/>
      <c r="CW922" s="8">
        <f>(1.098)</f>
        <v>1.0980000000000001</v>
      </c>
      <c r="DF922" s="8" t="s">
        <v>514</v>
      </c>
    </row>
    <row r="923" spans="1:110" x14ac:dyDescent="0.25">
      <c r="C923" s="60" t="str">
        <f>CONCATENATE("SOMMANO " &amp; 'Elenco Prezzi'!$C$250)</f>
        <v>SOMMANO m</v>
      </c>
      <c r="D923" s="70"/>
      <c r="E923" s="70"/>
      <c r="F923" s="70"/>
      <c r="G923" s="70"/>
      <c r="H923" s="69">
        <f>SUM($H$920:$H$922)</f>
        <v>2.8570000000000002</v>
      </c>
      <c r="I923" s="65">
        <f>('Elenco Prezzi'!$D$250)</f>
        <v>8</v>
      </c>
      <c r="J923" s="65">
        <f>PRODUCT($H$923,$I$923)</f>
        <v>22.856000000000002</v>
      </c>
      <c r="DF923" s="8" t="s">
        <v>514</v>
      </c>
    </row>
    <row r="924" spans="1:110" ht="31.5" x14ac:dyDescent="0.25">
      <c r="A924" s="3">
        <v>118</v>
      </c>
      <c r="B924" s="56" t="str">
        <f>('Elenco Prezzi'!$A$253)</f>
        <v>981.004</v>
      </c>
      <c r="C924" s="23" t="str">
        <f>('Elenco Prezzi'!$B$253)</f>
        <v>Tubazione scarico - 100mm</v>
      </c>
      <c r="D924" s="70"/>
      <c r="E924" s="70"/>
      <c r="F924" s="70"/>
      <c r="G924" s="70"/>
      <c r="H924" s="69"/>
      <c r="I924" s="65"/>
      <c r="J924" s="65"/>
      <c r="K924" s="58" t="s">
        <v>231</v>
      </c>
      <c r="L924" s="58" t="s">
        <v>232</v>
      </c>
      <c r="M924" s="58" t="s">
        <v>232</v>
      </c>
      <c r="N924" s="58" t="s">
        <v>234</v>
      </c>
      <c r="DF924" s="8" t="s">
        <v>514</v>
      </c>
    </row>
    <row r="925" spans="1:110" hidden="1" outlineLevel="1" x14ac:dyDescent="0.25">
      <c r="C925" s="57" t="str">
        <f>('Elenco Prezzi'!$B$254)</f>
        <v>Tubazione scarico - 100mm</v>
      </c>
      <c r="D925" s="70"/>
      <c r="E925" s="70"/>
      <c r="F925" s="70"/>
      <c r="G925" s="70"/>
      <c r="H925" s="69"/>
      <c r="I925" s="65"/>
      <c r="J925" s="65"/>
      <c r="DF925" s="8" t="s">
        <v>514</v>
      </c>
    </row>
    <row r="926" spans="1:110" hidden="1" outlineLevel="1" x14ac:dyDescent="0.25">
      <c r="C926" s="57" t="str">
        <f>('Elenco Prezzi'!$B$255)</f>
        <v>Tubazione scarico - 100mm</v>
      </c>
      <c r="D926" s="70"/>
      <c r="E926" s="70"/>
      <c r="F926" s="70"/>
      <c r="G926" s="70"/>
      <c r="H926" s="69"/>
      <c r="I926" s="65"/>
      <c r="J926" s="65"/>
      <c r="DF926" s="8" t="s">
        <v>514</v>
      </c>
    </row>
    <row r="927" spans="1:110" outlineLevel="1" x14ac:dyDescent="0.25">
      <c r="C927" s="59" t="s">
        <v>235</v>
      </c>
      <c r="D927" s="70"/>
      <c r="E927" s="70"/>
      <c r="F927" s="70"/>
      <c r="G927" s="70"/>
      <c r="H927" s="69"/>
      <c r="I927" s="65"/>
      <c r="J927" s="65"/>
      <c r="DF927" s="8" t="s">
        <v>514</v>
      </c>
    </row>
    <row r="928" spans="1:110" outlineLevel="1" x14ac:dyDescent="0.25">
      <c r="C928" s="5" t="s">
        <v>494</v>
      </c>
      <c r="D928" s="70"/>
      <c r="E928" s="70">
        <v>1.081</v>
      </c>
      <c r="F928" s="70"/>
      <c r="G928" s="70"/>
      <c r="H928" s="69">
        <f>PRODUCT($CV$928,$CW$928,$CX$928,$CY$928)</f>
        <v>1.081</v>
      </c>
      <c r="I928" s="65"/>
      <c r="J928" s="65"/>
      <c r="CW928" s="8">
        <f>(1.081)</f>
        <v>1.081</v>
      </c>
      <c r="DF928" s="8" t="s">
        <v>514</v>
      </c>
    </row>
    <row r="929" spans="1:110" outlineLevel="1" x14ac:dyDescent="0.25">
      <c r="C929" s="5" t="s">
        <v>495</v>
      </c>
      <c r="D929" s="70"/>
      <c r="E929" s="70">
        <v>0.70099999999999996</v>
      </c>
      <c r="F929" s="70"/>
      <c r="G929" s="70"/>
      <c r="H929" s="69">
        <f>PRODUCT($CV$929,$CW$929,$CX$929,$CY$929)</f>
        <v>0.70099999999999996</v>
      </c>
      <c r="I929" s="65"/>
      <c r="J929" s="65"/>
      <c r="CW929" s="8">
        <f>(0.701)</f>
        <v>0.70099999999999996</v>
      </c>
      <c r="DF929" s="8" t="s">
        <v>514</v>
      </c>
    </row>
    <row r="930" spans="1:110" outlineLevel="1" x14ac:dyDescent="0.25">
      <c r="C930" s="5" t="s">
        <v>496</v>
      </c>
      <c r="D930" s="70"/>
      <c r="E930" s="70">
        <v>0.86299999999999999</v>
      </c>
      <c r="F930" s="70"/>
      <c r="G930" s="70"/>
      <c r="H930" s="69">
        <f>PRODUCT($CV$930,$CW$930,$CX$930,$CY$930)</f>
        <v>0.86299999999999999</v>
      </c>
      <c r="I930" s="65"/>
      <c r="J930" s="65"/>
      <c r="CW930" s="8">
        <f>(0.863)</f>
        <v>0.86299999999999999</v>
      </c>
      <c r="DF930" s="8" t="s">
        <v>514</v>
      </c>
    </row>
    <row r="931" spans="1:110" x14ac:dyDescent="0.25">
      <c r="C931" s="60" t="str">
        <f>CONCATENATE("SOMMANO " &amp; 'Elenco Prezzi'!$C$253)</f>
        <v>SOMMANO m</v>
      </c>
      <c r="D931" s="70"/>
      <c r="E931" s="70"/>
      <c r="F931" s="70"/>
      <c r="G931" s="70"/>
      <c r="H931" s="69">
        <f>SUM($H$928:$H$930)</f>
        <v>2.645</v>
      </c>
      <c r="I931" s="65">
        <f>('Elenco Prezzi'!$D$253)</f>
        <v>12</v>
      </c>
      <c r="J931" s="65">
        <f>PRODUCT($H$931,$I$931)</f>
        <v>31.740000000000002</v>
      </c>
      <c r="DF931" s="8" t="s">
        <v>514</v>
      </c>
    </row>
    <row r="932" spans="1:110" ht="31.5" x14ac:dyDescent="0.25">
      <c r="A932" s="3">
        <v>119</v>
      </c>
      <c r="B932" s="56" t="str">
        <f>('Elenco Prezzi'!$A$256)</f>
        <v>981.008</v>
      </c>
      <c r="C932" s="23" t="str">
        <f>('Elenco Prezzi'!$B$256)</f>
        <v>Gomito per tubazione scarico - 32mm</v>
      </c>
      <c r="D932" s="70"/>
      <c r="E932" s="70"/>
      <c r="F932" s="70"/>
      <c r="G932" s="70"/>
      <c r="H932" s="69"/>
      <c r="I932" s="65"/>
      <c r="J932" s="65"/>
      <c r="K932" s="58" t="s">
        <v>231</v>
      </c>
      <c r="L932" s="58" t="s">
        <v>232</v>
      </c>
      <c r="M932" s="58" t="s">
        <v>232</v>
      </c>
      <c r="N932" s="58" t="s">
        <v>234</v>
      </c>
      <c r="DF932" s="8" t="s">
        <v>514</v>
      </c>
    </row>
    <row r="933" spans="1:110" hidden="1" outlineLevel="1" x14ac:dyDescent="0.25">
      <c r="C933" s="57" t="str">
        <f>('Elenco Prezzi'!$B$257)</f>
        <v>Gomito per tubazione scarico - 32mm</v>
      </c>
      <c r="D933" s="70"/>
      <c r="E933" s="70"/>
      <c r="F933" s="70"/>
      <c r="G933" s="70"/>
      <c r="H933" s="69"/>
      <c r="I933" s="65"/>
      <c r="J933" s="65"/>
      <c r="DF933" s="8" t="s">
        <v>514</v>
      </c>
    </row>
    <row r="934" spans="1:110" hidden="1" outlineLevel="1" x14ac:dyDescent="0.25">
      <c r="C934" s="57" t="str">
        <f>('Elenco Prezzi'!$B$258)</f>
        <v>Gomito per tubazione scarico - 32mm</v>
      </c>
      <c r="D934" s="70"/>
      <c r="E934" s="70"/>
      <c r="F934" s="70"/>
      <c r="G934" s="70"/>
      <c r="H934" s="69"/>
      <c r="I934" s="65"/>
      <c r="J934" s="65"/>
      <c r="DF934" s="8" t="s">
        <v>514</v>
      </c>
    </row>
    <row r="935" spans="1:110" outlineLevel="1" x14ac:dyDescent="0.25">
      <c r="C935" s="59" t="s">
        <v>235</v>
      </c>
      <c r="D935" s="70"/>
      <c r="E935" s="70"/>
      <c r="F935" s="70"/>
      <c r="G935" s="70"/>
      <c r="H935" s="69"/>
      <c r="I935" s="65"/>
      <c r="J935" s="65"/>
      <c r="DF935" s="8" t="s">
        <v>514</v>
      </c>
    </row>
    <row r="936" spans="1:110" ht="31.5" outlineLevel="1" x14ac:dyDescent="0.25">
      <c r="C936" s="5" t="s">
        <v>497</v>
      </c>
      <c r="D936" s="70">
        <v>2</v>
      </c>
      <c r="E936" s="70"/>
      <c r="F936" s="70"/>
      <c r="G936" s="70"/>
      <c r="H936" s="69">
        <f>PRODUCT($CV$936,$CW$936,$CX$936,$CY$936)</f>
        <v>2</v>
      </c>
      <c r="I936" s="65"/>
      <c r="J936" s="65"/>
      <c r="CV936" s="8">
        <f>(2)</f>
        <v>2</v>
      </c>
      <c r="DF936" s="8" t="s">
        <v>514</v>
      </c>
    </row>
    <row r="937" spans="1:110" x14ac:dyDescent="0.25">
      <c r="C937" s="60" t="str">
        <f>CONCATENATE("SOMMANO " &amp; 'Elenco Prezzi'!$C$256)</f>
        <v>SOMMANO Cad. Uno</v>
      </c>
      <c r="D937" s="70"/>
      <c r="E937" s="70"/>
      <c r="F937" s="70"/>
      <c r="G937" s="70"/>
      <c r="H937" s="69">
        <f>SUM($H$936:$H$936)</f>
        <v>2</v>
      </c>
      <c r="I937" s="65">
        <f>('Elenco Prezzi'!$D$256)</f>
        <v>4</v>
      </c>
      <c r="J937" s="65">
        <f>PRODUCT($H$937,$I$937)</f>
        <v>8</v>
      </c>
      <c r="DF937" s="8" t="s">
        <v>514</v>
      </c>
    </row>
    <row r="938" spans="1:110" ht="31.5" x14ac:dyDescent="0.25">
      <c r="A938" s="3">
        <v>120</v>
      </c>
      <c r="B938" s="56" t="str">
        <f>('Elenco Prezzi'!$A$259)</f>
        <v>981.009</v>
      </c>
      <c r="C938" s="23" t="str">
        <f>('Elenco Prezzi'!$B$259)</f>
        <v>Gomito per tubazione scarico - 40mm</v>
      </c>
      <c r="D938" s="70"/>
      <c r="E938" s="70"/>
      <c r="F938" s="70"/>
      <c r="G938" s="70"/>
      <c r="H938" s="69"/>
      <c r="I938" s="65"/>
      <c r="J938" s="65"/>
      <c r="K938" s="58" t="s">
        <v>231</v>
      </c>
      <c r="L938" s="58" t="s">
        <v>232</v>
      </c>
      <c r="M938" s="58" t="s">
        <v>232</v>
      </c>
      <c r="N938" s="58" t="s">
        <v>234</v>
      </c>
      <c r="DF938" s="8" t="s">
        <v>514</v>
      </c>
    </row>
    <row r="939" spans="1:110" hidden="1" outlineLevel="1" x14ac:dyDescent="0.25">
      <c r="C939" s="57" t="str">
        <f>('Elenco Prezzi'!$B$260)</f>
        <v>Gomito per tubazione scarico - 40mm</v>
      </c>
      <c r="D939" s="70"/>
      <c r="E939" s="70"/>
      <c r="F939" s="70"/>
      <c r="G939" s="70"/>
      <c r="H939" s="69"/>
      <c r="I939" s="65"/>
      <c r="J939" s="65"/>
      <c r="DF939" s="8" t="s">
        <v>514</v>
      </c>
    </row>
    <row r="940" spans="1:110" hidden="1" outlineLevel="1" x14ac:dyDescent="0.25">
      <c r="C940" s="57" t="str">
        <f>('Elenco Prezzi'!$B$261)</f>
        <v>Gomito per tubazione scarico - 40mm</v>
      </c>
      <c r="D940" s="70"/>
      <c r="E940" s="70"/>
      <c r="F940" s="70"/>
      <c r="G940" s="70"/>
      <c r="H940" s="69"/>
      <c r="I940" s="65"/>
      <c r="J940" s="65"/>
      <c r="DF940" s="8" t="s">
        <v>514</v>
      </c>
    </row>
    <row r="941" spans="1:110" outlineLevel="1" x14ac:dyDescent="0.25">
      <c r="C941" s="59" t="s">
        <v>235</v>
      </c>
      <c r="D941" s="70"/>
      <c r="E941" s="70"/>
      <c r="F941" s="70"/>
      <c r="G941" s="70"/>
      <c r="H941" s="69"/>
      <c r="I941" s="65"/>
      <c r="J941" s="65"/>
      <c r="DF941" s="8" t="s">
        <v>514</v>
      </c>
    </row>
    <row r="942" spans="1:110" ht="31.5" outlineLevel="1" x14ac:dyDescent="0.25">
      <c r="C942" s="5" t="s">
        <v>498</v>
      </c>
      <c r="D942" s="70">
        <v>1</v>
      </c>
      <c r="E942" s="70"/>
      <c r="F942" s="70"/>
      <c r="G942" s="70"/>
      <c r="H942" s="69">
        <f>PRODUCT($CV$942,$CW$942,$CX$942,$CY$942)</f>
        <v>1</v>
      </c>
      <c r="I942" s="65"/>
      <c r="J942" s="65"/>
      <c r="CV942" s="8">
        <f>(1)</f>
        <v>1</v>
      </c>
      <c r="DF942" s="8" t="s">
        <v>514</v>
      </c>
    </row>
    <row r="943" spans="1:110" x14ac:dyDescent="0.25">
      <c r="C943" s="60" t="str">
        <f>CONCATENATE("SOMMANO " &amp; 'Elenco Prezzi'!$C$259)</f>
        <v>SOMMANO Cad. Uno</v>
      </c>
      <c r="D943" s="70"/>
      <c r="E943" s="70"/>
      <c r="F943" s="70"/>
      <c r="G943" s="70"/>
      <c r="H943" s="69">
        <f>SUM($H$942:$H$942)</f>
        <v>1</v>
      </c>
      <c r="I943" s="65">
        <f>('Elenco Prezzi'!$D$259)</f>
        <v>4.5</v>
      </c>
      <c r="J943" s="65">
        <f>PRODUCT($H$943,$I$943)</f>
        <v>4.5</v>
      </c>
      <c r="DF943" s="8" t="s">
        <v>514</v>
      </c>
    </row>
    <row r="944" spans="1:110" ht="31.5" x14ac:dyDescent="0.25">
      <c r="A944" s="3">
        <v>121</v>
      </c>
      <c r="B944" s="56" t="str">
        <f>('Elenco Prezzi'!$A$262)</f>
        <v>981.010</v>
      </c>
      <c r="C944" s="23" t="str">
        <f>('Elenco Prezzi'!$B$262)</f>
        <v>Gomito per tubazione scarico - 100mm</v>
      </c>
      <c r="D944" s="70"/>
      <c r="E944" s="70"/>
      <c r="F944" s="70"/>
      <c r="G944" s="70"/>
      <c r="H944" s="69"/>
      <c r="I944" s="65"/>
      <c r="J944" s="65"/>
      <c r="K944" s="58" t="s">
        <v>231</v>
      </c>
      <c r="L944" s="58" t="s">
        <v>232</v>
      </c>
      <c r="M944" s="58" t="s">
        <v>232</v>
      </c>
      <c r="N944" s="58" t="s">
        <v>234</v>
      </c>
      <c r="DF944" s="8" t="s">
        <v>514</v>
      </c>
    </row>
    <row r="945" spans="1:110" hidden="1" outlineLevel="1" x14ac:dyDescent="0.25">
      <c r="C945" s="57" t="str">
        <f>('Elenco Prezzi'!$B$263)</f>
        <v>Gomito per tubazione scarico - 100mm</v>
      </c>
      <c r="D945" s="70"/>
      <c r="E945" s="70"/>
      <c r="F945" s="70"/>
      <c r="G945" s="70"/>
      <c r="H945" s="69"/>
      <c r="I945" s="65"/>
      <c r="J945" s="65"/>
      <c r="DF945" s="8" t="s">
        <v>514</v>
      </c>
    </row>
    <row r="946" spans="1:110" hidden="1" outlineLevel="1" x14ac:dyDescent="0.25">
      <c r="C946" s="57" t="str">
        <f>('Elenco Prezzi'!$B$264)</f>
        <v>Gomito per tubazione scarico - 100mm</v>
      </c>
      <c r="D946" s="70"/>
      <c r="E946" s="70"/>
      <c r="F946" s="70"/>
      <c r="G946" s="70"/>
      <c r="H946" s="69"/>
      <c r="I946" s="65"/>
      <c r="J946" s="65"/>
      <c r="DF946" s="8" t="s">
        <v>514</v>
      </c>
    </row>
    <row r="947" spans="1:110" outlineLevel="1" x14ac:dyDescent="0.25">
      <c r="C947" s="59" t="s">
        <v>235</v>
      </c>
      <c r="D947" s="70"/>
      <c r="E947" s="70"/>
      <c r="F947" s="70"/>
      <c r="G947" s="70"/>
      <c r="H947" s="69"/>
      <c r="I947" s="65"/>
      <c r="J947" s="65"/>
      <c r="DF947" s="8" t="s">
        <v>514</v>
      </c>
    </row>
    <row r="948" spans="1:110" ht="31.5" outlineLevel="1" x14ac:dyDescent="0.25">
      <c r="C948" s="5" t="s">
        <v>499</v>
      </c>
      <c r="D948" s="70">
        <v>2</v>
      </c>
      <c r="E948" s="70"/>
      <c r="F948" s="70"/>
      <c r="G948" s="70"/>
      <c r="H948" s="69">
        <f>PRODUCT($CV$948,$CW$948,$CX$948,$CY$948)</f>
        <v>2</v>
      </c>
      <c r="I948" s="65"/>
      <c r="J948" s="65"/>
      <c r="CV948" s="8">
        <f>(2)</f>
        <v>2</v>
      </c>
      <c r="DF948" s="8" t="s">
        <v>514</v>
      </c>
    </row>
    <row r="949" spans="1:110" x14ac:dyDescent="0.25">
      <c r="C949" s="60" t="str">
        <f>CONCATENATE("SOMMANO " &amp; 'Elenco Prezzi'!$C$262)</f>
        <v>SOMMANO Cad. Uno</v>
      </c>
      <c r="D949" s="70"/>
      <c r="E949" s="70"/>
      <c r="F949" s="70"/>
      <c r="G949" s="70"/>
      <c r="H949" s="69">
        <f>SUM($H$948:$H$948)</f>
        <v>2</v>
      </c>
      <c r="I949" s="65">
        <f>('Elenco Prezzi'!$D$262)</f>
        <v>5</v>
      </c>
      <c r="J949" s="65">
        <f>PRODUCT($H$949,$I$949)</f>
        <v>10</v>
      </c>
      <c r="DF949" s="8" t="s">
        <v>514</v>
      </c>
    </row>
    <row r="950" spans="1:110" ht="31.5" x14ac:dyDescent="0.25">
      <c r="A950" s="3">
        <v>122</v>
      </c>
      <c r="B950" s="56" t="str">
        <f>('Elenco Prezzi'!$A$265)</f>
        <v>990.001</v>
      </c>
      <c r="C950" s="23" t="str">
        <f>('Elenco Prezzi'!$B$265)</f>
        <v>Terreno di riporto</v>
      </c>
      <c r="D950" s="70"/>
      <c r="E950" s="70"/>
      <c r="F950" s="70"/>
      <c r="G950" s="70"/>
      <c r="H950" s="69"/>
      <c r="I950" s="65"/>
      <c r="J950" s="65"/>
      <c r="K950" s="58" t="s">
        <v>231</v>
      </c>
      <c r="L950" s="58" t="s">
        <v>232</v>
      </c>
      <c r="M950" s="58" t="s">
        <v>232</v>
      </c>
      <c r="N950" s="58" t="s">
        <v>234</v>
      </c>
      <c r="DF950" s="8" t="s">
        <v>514</v>
      </c>
    </row>
    <row r="951" spans="1:110" hidden="1" outlineLevel="1" x14ac:dyDescent="0.25">
      <c r="C951" s="57" t="str">
        <f>('Elenco Prezzi'!$B$266)</f>
        <v>Terreno di riporto</v>
      </c>
      <c r="D951" s="70"/>
      <c r="E951" s="70"/>
      <c r="F951" s="70"/>
      <c r="G951" s="70"/>
      <c r="H951" s="69"/>
      <c r="I951" s="65"/>
      <c r="J951" s="65"/>
      <c r="DF951" s="8" t="s">
        <v>514</v>
      </c>
    </row>
    <row r="952" spans="1:110" hidden="1" outlineLevel="1" x14ac:dyDescent="0.25">
      <c r="C952" s="57" t="str">
        <f>('Elenco Prezzi'!$B$267)</f>
        <v>Terreno di riporto</v>
      </c>
      <c r="D952" s="70"/>
      <c r="E952" s="70"/>
      <c r="F952" s="70"/>
      <c r="G952" s="70"/>
      <c r="H952" s="69"/>
      <c r="I952" s="65"/>
      <c r="J952" s="65"/>
      <c r="DF952" s="8" t="s">
        <v>514</v>
      </c>
    </row>
    <row r="953" spans="1:110" outlineLevel="1" x14ac:dyDescent="0.25">
      <c r="C953" s="59" t="s">
        <v>235</v>
      </c>
      <c r="D953" s="70"/>
      <c r="E953" s="70"/>
      <c r="F953" s="70"/>
      <c r="G953" s="70"/>
      <c r="H953" s="69"/>
      <c r="I953" s="65"/>
      <c r="J953" s="65"/>
      <c r="DF953" s="8" t="s">
        <v>514</v>
      </c>
    </row>
    <row r="954" spans="1:110" ht="31.5" outlineLevel="1" x14ac:dyDescent="0.25">
      <c r="C954" s="5" t="s">
        <v>500</v>
      </c>
      <c r="D954" s="70">
        <v>174.358</v>
      </c>
      <c r="E954" s="70"/>
      <c r="F954" s="70"/>
      <c r="G954" s="70"/>
      <c r="H954" s="69">
        <f>PRODUCT($CV$954,$CW$954,$CX$954,$CY$954)</f>
        <v>174.358</v>
      </c>
      <c r="I954" s="65"/>
      <c r="J954" s="65"/>
      <c r="CV954" s="8">
        <f>(174.358)</f>
        <v>174.358</v>
      </c>
      <c r="DF954" s="8" t="s">
        <v>514</v>
      </c>
    </row>
    <row r="955" spans="1:110" x14ac:dyDescent="0.25">
      <c r="C955" s="60" t="str">
        <f>CONCATENATE("SOMMANO " &amp; 'Elenco Prezzi'!$C$265)</f>
        <v>SOMMANO m3</v>
      </c>
      <c r="D955" s="70"/>
      <c r="E955" s="70"/>
      <c r="F955" s="70"/>
      <c r="G955" s="70"/>
      <c r="H955" s="69">
        <f>SUM($H$954:$H$954)</f>
        <v>174.358</v>
      </c>
      <c r="I955" s="65">
        <f>('Elenco Prezzi'!$D$265)</f>
        <v>35</v>
      </c>
      <c r="J955" s="65">
        <f>PRODUCT($H$955,$I$955)</f>
        <v>6102.53</v>
      </c>
      <c r="DF955" s="8" t="s">
        <v>514</v>
      </c>
    </row>
    <row r="956" spans="1:110" ht="31.5" x14ac:dyDescent="0.25">
      <c r="A956" s="3">
        <v>123</v>
      </c>
      <c r="B956" s="56" t="str">
        <f>('Elenco Prezzi'!$A$268)</f>
        <v>991.000</v>
      </c>
      <c r="C956" s="23" t="str">
        <f>('Elenco Prezzi'!$B$268)</f>
        <v>Montanti per facciata continua</v>
      </c>
      <c r="D956" s="70"/>
      <c r="E956" s="70"/>
      <c r="F956" s="70"/>
      <c r="G956" s="70"/>
      <c r="H956" s="69"/>
      <c r="I956" s="65"/>
      <c r="J956" s="65"/>
      <c r="K956" s="58" t="s">
        <v>239</v>
      </c>
      <c r="L956" s="58" t="s">
        <v>232</v>
      </c>
      <c r="M956" s="58" t="s">
        <v>232</v>
      </c>
      <c r="N956" s="58" t="s">
        <v>234</v>
      </c>
      <c r="DF956" s="8" t="s">
        <v>514</v>
      </c>
    </row>
    <row r="957" spans="1:110" hidden="1" outlineLevel="1" x14ac:dyDescent="0.25">
      <c r="C957" s="57" t="str">
        <f>('Elenco Prezzi'!$B$269)</f>
        <v>Montanti per facciata continua</v>
      </c>
      <c r="D957" s="70"/>
      <c r="E957" s="70"/>
      <c r="F957" s="70"/>
      <c r="G957" s="70"/>
      <c r="H957" s="69"/>
      <c r="I957" s="65"/>
      <c r="J957" s="65"/>
      <c r="DF957" s="8" t="s">
        <v>514</v>
      </c>
    </row>
    <row r="958" spans="1:110" hidden="1" outlineLevel="1" x14ac:dyDescent="0.25">
      <c r="C958" s="57" t="str">
        <f>('Elenco Prezzi'!$B$270)</f>
        <v>Montanti per facciata continua</v>
      </c>
      <c r="D958" s="70"/>
      <c r="E958" s="70"/>
      <c r="F958" s="70"/>
      <c r="G958" s="70"/>
      <c r="H958" s="69"/>
      <c r="I958" s="65"/>
      <c r="J958" s="65"/>
      <c r="DF958" s="8" t="s">
        <v>514</v>
      </c>
    </row>
    <row r="959" spans="1:110" outlineLevel="1" x14ac:dyDescent="0.25">
      <c r="C959" s="59" t="s">
        <v>235</v>
      </c>
      <c r="D959" s="70"/>
      <c r="E959" s="70"/>
      <c r="F959" s="70"/>
      <c r="G959" s="70"/>
      <c r="H959" s="69"/>
      <c r="I959" s="65"/>
      <c r="J959" s="65"/>
      <c r="DF959" s="8" t="s">
        <v>514</v>
      </c>
    </row>
    <row r="960" spans="1:110" outlineLevel="1" x14ac:dyDescent="0.25">
      <c r="C960" s="5" t="s">
        <v>224</v>
      </c>
      <c r="D960" s="70"/>
      <c r="E960" s="70"/>
      <c r="F960" s="70"/>
      <c r="G960" s="70"/>
      <c r="H960" s="69"/>
      <c r="I960" s="65"/>
      <c r="J960" s="65"/>
      <c r="DF960" s="8" t="s">
        <v>514</v>
      </c>
    </row>
    <row r="961" spans="1:110" ht="31.5" outlineLevel="1" x14ac:dyDescent="0.25">
      <c r="C961" s="5" t="s">
        <v>501</v>
      </c>
      <c r="D961" s="70"/>
      <c r="E961" s="70">
        <v>89.825000000000003</v>
      </c>
      <c r="F961" s="70"/>
      <c r="G961" s="70"/>
      <c r="H961" s="69">
        <f>PRODUCT($CV$961,$CW$961,$CX$961,$CY$961)</f>
        <v>89.825000000000003</v>
      </c>
      <c r="I961" s="65"/>
      <c r="J961" s="65"/>
      <c r="CW961" s="8">
        <f>(89.825)</f>
        <v>89.825000000000003</v>
      </c>
      <c r="DF961" s="8" t="s">
        <v>514</v>
      </c>
    </row>
    <row r="962" spans="1:110" ht="31.5" outlineLevel="1" x14ac:dyDescent="0.25">
      <c r="C962" s="5" t="s">
        <v>502</v>
      </c>
      <c r="D962" s="70"/>
      <c r="E962" s="70">
        <v>2.7</v>
      </c>
      <c r="F962" s="70"/>
      <c r="G962" s="70"/>
      <c r="H962" s="69">
        <f>PRODUCT($CV$962,$CW$962,$CX$962,$CY$962)</f>
        <v>2.7</v>
      </c>
      <c r="I962" s="65"/>
      <c r="J962" s="65"/>
      <c r="CW962" s="8">
        <f>(2.7)</f>
        <v>2.7</v>
      </c>
      <c r="DF962" s="8" t="s">
        <v>514</v>
      </c>
    </row>
    <row r="963" spans="1:110" x14ac:dyDescent="0.25">
      <c r="C963" s="60" t="str">
        <f>CONCATENATE("SOMMANO " &amp; 'Elenco Prezzi'!$C$268)</f>
        <v>SOMMANO m</v>
      </c>
      <c r="D963" s="70"/>
      <c r="E963" s="70"/>
      <c r="F963" s="70"/>
      <c r="G963" s="70"/>
      <c r="H963" s="69">
        <f>SUM($H$960:$H$962)</f>
        <v>92.525000000000006</v>
      </c>
      <c r="I963" s="65">
        <f>('Elenco Prezzi'!$D$268)</f>
        <v>6</v>
      </c>
      <c r="J963" s="65">
        <f>PRODUCT($H$963,$I$963)</f>
        <v>555.15000000000009</v>
      </c>
      <c r="DF963" s="8" t="s">
        <v>514</v>
      </c>
    </row>
    <row r="964" spans="1:110" ht="31.5" x14ac:dyDescent="0.25">
      <c r="A964" s="3">
        <v>124</v>
      </c>
      <c r="B964" s="56" t="str">
        <f>('Elenco Prezzi'!$A$268)</f>
        <v>991.000</v>
      </c>
      <c r="C964" s="23" t="str">
        <f>('Elenco Prezzi'!$B$268)</f>
        <v>Montanti per facciata continua</v>
      </c>
      <c r="D964" s="70"/>
      <c r="E964" s="70"/>
      <c r="F964" s="70"/>
      <c r="G964" s="70"/>
      <c r="H964" s="69"/>
      <c r="I964" s="65"/>
      <c r="J964" s="65"/>
      <c r="K964" s="58" t="s">
        <v>231</v>
      </c>
      <c r="L964" s="58" t="s">
        <v>232</v>
      </c>
      <c r="M964" s="58" t="s">
        <v>232</v>
      </c>
      <c r="N964" s="58" t="s">
        <v>234</v>
      </c>
      <c r="DF964" s="8" t="s">
        <v>514</v>
      </c>
    </row>
    <row r="965" spans="1:110" hidden="1" outlineLevel="1" x14ac:dyDescent="0.25">
      <c r="C965" s="57" t="str">
        <f>('Elenco Prezzi'!$B$269)</f>
        <v>Montanti per facciata continua</v>
      </c>
      <c r="D965" s="70"/>
      <c r="E965" s="70"/>
      <c r="F965" s="70"/>
      <c r="G965" s="70"/>
      <c r="H965" s="69"/>
      <c r="I965" s="65"/>
      <c r="J965" s="65"/>
      <c r="DF965" s="8" t="s">
        <v>514</v>
      </c>
    </row>
    <row r="966" spans="1:110" hidden="1" outlineLevel="1" x14ac:dyDescent="0.25">
      <c r="C966" s="57" t="str">
        <f>('Elenco Prezzi'!$B$270)</f>
        <v>Montanti per facciata continua</v>
      </c>
      <c r="D966" s="70"/>
      <c r="E966" s="70"/>
      <c r="F966" s="70"/>
      <c r="G966" s="70"/>
      <c r="H966" s="69"/>
      <c r="I966" s="65"/>
      <c r="J966" s="65"/>
      <c r="DF966" s="8" t="s">
        <v>514</v>
      </c>
    </row>
    <row r="967" spans="1:110" outlineLevel="1" x14ac:dyDescent="0.25">
      <c r="C967" s="59" t="s">
        <v>235</v>
      </c>
      <c r="D967" s="70"/>
      <c r="E967" s="70"/>
      <c r="F967" s="70"/>
      <c r="G967" s="70"/>
      <c r="H967" s="69"/>
      <c r="I967" s="65"/>
      <c r="J967" s="65"/>
      <c r="DF967" s="8" t="s">
        <v>514</v>
      </c>
    </row>
    <row r="968" spans="1:110" outlineLevel="1" x14ac:dyDescent="0.25">
      <c r="C968" s="5" t="s">
        <v>224</v>
      </c>
      <c r="D968" s="70"/>
      <c r="E968" s="70"/>
      <c r="F968" s="70"/>
      <c r="G968" s="70"/>
      <c r="H968" s="69"/>
      <c r="I968" s="65"/>
      <c r="J968" s="65"/>
      <c r="DF968" s="8" t="s">
        <v>514</v>
      </c>
    </row>
    <row r="969" spans="1:110" ht="31.5" outlineLevel="1" x14ac:dyDescent="0.25">
      <c r="C969" s="5" t="s">
        <v>503</v>
      </c>
      <c r="D969" s="70"/>
      <c r="E969" s="70">
        <v>6.25</v>
      </c>
      <c r="F969" s="70"/>
      <c r="G969" s="70"/>
      <c r="H969" s="69">
        <f>PRODUCT($CV$969,$CW$969,$CX$969,$CY$969)</f>
        <v>6.25</v>
      </c>
      <c r="I969" s="65"/>
      <c r="J969" s="65"/>
      <c r="CW969" s="8">
        <f>(6.25)</f>
        <v>6.25</v>
      </c>
      <c r="DF969" s="8" t="s">
        <v>514</v>
      </c>
    </row>
    <row r="970" spans="1:110" ht="31.5" outlineLevel="1" x14ac:dyDescent="0.25">
      <c r="C970" s="5" t="s">
        <v>504</v>
      </c>
      <c r="D970" s="70"/>
      <c r="E970" s="70">
        <v>32.4</v>
      </c>
      <c r="F970" s="70"/>
      <c r="G970" s="70"/>
      <c r="H970" s="69">
        <f>PRODUCT($CV$970,$CW$970,$CX$970,$CY$970)</f>
        <v>32.4</v>
      </c>
      <c r="I970" s="65"/>
      <c r="J970" s="65"/>
      <c r="CW970" s="8">
        <f>(32.4)</f>
        <v>32.4</v>
      </c>
      <c r="DF970" s="8" t="s">
        <v>514</v>
      </c>
    </row>
    <row r="971" spans="1:110" ht="31.5" outlineLevel="1" x14ac:dyDescent="0.25">
      <c r="C971" s="5" t="s">
        <v>505</v>
      </c>
      <c r="D971" s="70"/>
      <c r="E971" s="70">
        <v>116.502</v>
      </c>
      <c r="F971" s="70"/>
      <c r="G971" s="70"/>
      <c r="H971" s="69">
        <f>PRODUCT($CV$971,$CW$971,$CX$971,$CY$971)</f>
        <v>116.502</v>
      </c>
      <c r="I971" s="65"/>
      <c r="J971" s="65"/>
      <c r="CW971" s="8">
        <f>(116.502)</f>
        <v>116.502</v>
      </c>
      <c r="DF971" s="8" t="s">
        <v>514</v>
      </c>
    </row>
    <row r="972" spans="1:110" x14ac:dyDescent="0.25">
      <c r="C972" s="60" t="str">
        <f>CONCATENATE("SOMMANO " &amp; 'Elenco Prezzi'!$C$268)</f>
        <v>SOMMANO m</v>
      </c>
      <c r="D972" s="70"/>
      <c r="E972" s="70"/>
      <c r="F972" s="70"/>
      <c r="G972" s="70"/>
      <c r="H972" s="69">
        <f>SUM($H$968:$H$971)</f>
        <v>155.15199999999999</v>
      </c>
      <c r="I972" s="65">
        <f>('Elenco Prezzi'!$D$268)</f>
        <v>6</v>
      </c>
      <c r="J972" s="65">
        <f>PRODUCT($H$972,$I$972)</f>
        <v>930.91199999999992</v>
      </c>
      <c r="DF972" s="8" t="s">
        <v>514</v>
      </c>
    </row>
    <row r="973" spans="1:110" ht="31.5" x14ac:dyDescent="0.25">
      <c r="A973" s="3">
        <v>125</v>
      </c>
      <c r="B973" s="56" t="str">
        <f>('Elenco Prezzi'!$A$271)</f>
        <v>991.001</v>
      </c>
      <c r="C973" s="23" t="str">
        <f>('Elenco Prezzi'!$B$271)</f>
        <v>Pannelli scuri per facciata continua</v>
      </c>
      <c r="D973" s="70"/>
      <c r="E973" s="70"/>
      <c r="F973" s="70"/>
      <c r="G973" s="70"/>
      <c r="H973" s="69"/>
      <c r="I973" s="65"/>
      <c r="J973" s="65"/>
      <c r="K973" s="58" t="s">
        <v>239</v>
      </c>
      <c r="L973" s="58" t="s">
        <v>232</v>
      </c>
      <c r="M973" s="58" t="s">
        <v>232</v>
      </c>
      <c r="N973" s="58" t="s">
        <v>234</v>
      </c>
      <c r="DF973" s="8" t="s">
        <v>514</v>
      </c>
    </row>
    <row r="974" spans="1:110" hidden="1" outlineLevel="1" x14ac:dyDescent="0.25">
      <c r="C974" s="57" t="str">
        <f>('Elenco Prezzi'!$B$272)</f>
        <v>Pannelli scuri per facciata continua</v>
      </c>
      <c r="D974" s="70"/>
      <c r="E974" s="70"/>
      <c r="F974" s="70"/>
      <c r="G974" s="70"/>
      <c r="H974" s="69"/>
      <c r="I974" s="65"/>
      <c r="J974" s="65"/>
      <c r="DF974" s="8" t="s">
        <v>514</v>
      </c>
    </row>
    <row r="975" spans="1:110" hidden="1" outlineLevel="1" x14ac:dyDescent="0.25">
      <c r="C975" s="57" t="str">
        <f>('Elenco Prezzi'!$B$273)</f>
        <v>Pannelli scuri per facciata continua</v>
      </c>
      <c r="D975" s="70"/>
      <c r="E975" s="70"/>
      <c r="F975" s="70"/>
      <c r="G975" s="70"/>
      <c r="H975" s="69"/>
      <c r="I975" s="65"/>
      <c r="J975" s="65"/>
      <c r="DF975" s="8" t="s">
        <v>514</v>
      </c>
    </row>
    <row r="976" spans="1:110" outlineLevel="1" x14ac:dyDescent="0.25">
      <c r="C976" s="59" t="s">
        <v>235</v>
      </c>
      <c r="D976" s="70"/>
      <c r="E976" s="70"/>
      <c r="F976" s="70"/>
      <c r="G976" s="70"/>
      <c r="H976" s="69"/>
      <c r="I976" s="65"/>
      <c r="J976" s="65"/>
      <c r="DF976" s="8" t="s">
        <v>514</v>
      </c>
    </row>
    <row r="977" spans="1:110" outlineLevel="1" x14ac:dyDescent="0.25">
      <c r="C977" s="5" t="s">
        <v>226</v>
      </c>
      <c r="D977" s="70"/>
      <c r="E977" s="70"/>
      <c r="F977" s="70"/>
      <c r="G977" s="70"/>
      <c r="H977" s="69"/>
      <c r="I977" s="65"/>
      <c r="J977" s="65"/>
      <c r="DF977" s="8" t="s">
        <v>514</v>
      </c>
    </row>
    <row r="978" spans="1:110" ht="31.5" outlineLevel="1" x14ac:dyDescent="0.25">
      <c r="C978" s="5" t="s">
        <v>506</v>
      </c>
      <c r="D978" s="70">
        <v>16.956</v>
      </c>
      <c r="E978" s="70"/>
      <c r="F978" s="70"/>
      <c r="G978" s="70"/>
      <c r="H978" s="69">
        <f>PRODUCT($CV$978,$CW$978,$CX$978,$CY$978)</f>
        <v>16.956</v>
      </c>
      <c r="I978" s="65"/>
      <c r="J978" s="65"/>
      <c r="CV978" s="8">
        <f>(16.956)</f>
        <v>16.956</v>
      </c>
      <c r="DF978" s="8" t="s">
        <v>514</v>
      </c>
    </row>
    <row r="979" spans="1:110" ht="31.5" outlineLevel="1" x14ac:dyDescent="0.25">
      <c r="C979" s="5" t="s">
        <v>507</v>
      </c>
      <c r="D979" s="70">
        <v>32.276000000000003</v>
      </c>
      <c r="E979" s="70"/>
      <c r="F979" s="70"/>
      <c r="G979" s="70"/>
      <c r="H979" s="69">
        <f>PRODUCT($CV$979,$CW$979,$CX$979,$CY$979)</f>
        <v>32.276000000000003</v>
      </c>
      <c r="I979" s="65"/>
      <c r="J979" s="65"/>
      <c r="CV979" s="8">
        <f>(32.276)</f>
        <v>32.276000000000003</v>
      </c>
      <c r="DF979" s="8" t="s">
        <v>514</v>
      </c>
    </row>
    <row r="980" spans="1:110" x14ac:dyDescent="0.25">
      <c r="C980" s="60" t="str">
        <f>CONCATENATE("SOMMANO " &amp; 'Elenco Prezzi'!$C$271)</f>
        <v>SOMMANO m2</v>
      </c>
      <c r="D980" s="70"/>
      <c r="E980" s="70"/>
      <c r="F980" s="70"/>
      <c r="G980" s="70"/>
      <c r="H980" s="69">
        <f>SUM($H$977:$H$979)</f>
        <v>49.231999999999999</v>
      </c>
      <c r="I980" s="65">
        <f>('Elenco Prezzi'!$D$271)</f>
        <v>4</v>
      </c>
      <c r="J980" s="65">
        <f>PRODUCT($H$980,$I$980)</f>
        <v>196.928</v>
      </c>
      <c r="DF980" s="8" t="s">
        <v>514</v>
      </c>
    </row>
    <row r="981" spans="1:110" ht="31.5" x14ac:dyDescent="0.25">
      <c r="A981" s="3">
        <v>126</v>
      </c>
      <c r="B981" s="56" t="str">
        <f>('Elenco Prezzi'!$A$271)</f>
        <v>991.001</v>
      </c>
      <c r="C981" s="23" t="str">
        <f>('Elenco Prezzi'!$B$271)</f>
        <v>Pannelli scuri per facciata continua</v>
      </c>
      <c r="D981" s="70"/>
      <c r="E981" s="70"/>
      <c r="F981" s="70"/>
      <c r="G981" s="70"/>
      <c r="H981" s="69"/>
      <c r="I981" s="65"/>
      <c r="J981" s="65"/>
      <c r="K981" s="58" t="s">
        <v>231</v>
      </c>
      <c r="L981" s="58" t="s">
        <v>232</v>
      </c>
      <c r="M981" s="58" t="s">
        <v>232</v>
      </c>
      <c r="N981" s="58" t="s">
        <v>234</v>
      </c>
      <c r="DF981" s="8" t="s">
        <v>514</v>
      </c>
    </row>
    <row r="982" spans="1:110" hidden="1" outlineLevel="1" x14ac:dyDescent="0.25">
      <c r="C982" s="57" t="str">
        <f>('Elenco Prezzi'!$B$272)</f>
        <v>Pannelli scuri per facciata continua</v>
      </c>
      <c r="D982" s="70"/>
      <c r="E982" s="70"/>
      <c r="F982" s="70"/>
      <c r="G982" s="70"/>
      <c r="H982" s="69"/>
      <c r="I982" s="65"/>
      <c r="J982" s="65"/>
      <c r="DF982" s="8" t="s">
        <v>514</v>
      </c>
    </row>
    <row r="983" spans="1:110" hidden="1" outlineLevel="1" x14ac:dyDescent="0.25">
      <c r="C983" s="57" t="str">
        <f>('Elenco Prezzi'!$B$273)</f>
        <v>Pannelli scuri per facciata continua</v>
      </c>
      <c r="D983" s="70"/>
      <c r="E983" s="70"/>
      <c r="F983" s="70"/>
      <c r="G983" s="70"/>
      <c r="H983" s="69"/>
      <c r="I983" s="65"/>
      <c r="J983" s="65"/>
      <c r="DF983" s="8" t="s">
        <v>514</v>
      </c>
    </row>
    <row r="984" spans="1:110" outlineLevel="1" x14ac:dyDescent="0.25">
      <c r="C984" s="59" t="s">
        <v>235</v>
      </c>
      <c r="D984" s="70"/>
      <c r="E984" s="70"/>
      <c r="F984" s="70"/>
      <c r="G984" s="70"/>
      <c r="H984" s="69"/>
      <c r="I984" s="65"/>
      <c r="J984" s="65"/>
      <c r="DF984" s="8" t="s">
        <v>514</v>
      </c>
    </row>
    <row r="985" spans="1:110" outlineLevel="1" x14ac:dyDescent="0.25">
      <c r="C985" s="5" t="s">
        <v>226</v>
      </c>
      <c r="D985" s="70"/>
      <c r="E985" s="70"/>
      <c r="F985" s="70"/>
      <c r="G985" s="70"/>
      <c r="H985" s="69"/>
      <c r="I985" s="65"/>
      <c r="J985" s="65"/>
      <c r="DF985" s="8" t="s">
        <v>514</v>
      </c>
    </row>
    <row r="986" spans="1:110" ht="31.5" outlineLevel="1" x14ac:dyDescent="0.25">
      <c r="C986" s="5" t="s">
        <v>508</v>
      </c>
      <c r="D986" s="70">
        <v>21.181000000000001</v>
      </c>
      <c r="E986" s="70"/>
      <c r="F986" s="70"/>
      <c r="G986" s="70"/>
      <c r="H986" s="69">
        <f>PRODUCT($CV$986,$CW$986,$CX$986,$CY$986)</f>
        <v>21.181000000000001</v>
      </c>
      <c r="I986" s="65"/>
      <c r="J986" s="65"/>
      <c r="CV986" s="8">
        <f>(21.181)</f>
        <v>21.181000000000001</v>
      </c>
      <c r="DF986" s="8" t="s">
        <v>514</v>
      </c>
    </row>
    <row r="987" spans="1:110" ht="31.5" outlineLevel="1" x14ac:dyDescent="0.25">
      <c r="C987" s="5" t="s">
        <v>509</v>
      </c>
      <c r="D987" s="70">
        <v>10.292</v>
      </c>
      <c r="E987" s="70"/>
      <c r="F987" s="70"/>
      <c r="G987" s="70"/>
      <c r="H987" s="69">
        <f>PRODUCT($CV$987,$CW$987,$CX$987,$CY$987)</f>
        <v>10.292</v>
      </c>
      <c r="I987" s="65"/>
      <c r="J987" s="65"/>
      <c r="CV987" s="8">
        <f>(10.292)</f>
        <v>10.292</v>
      </c>
      <c r="DF987" s="8" t="s">
        <v>514</v>
      </c>
    </row>
    <row r="988" spans="1:110" x14ac:dyDescent="0.25">
      <c r="C988" s="60" t="str">
        <f>CONCATENATE("SOMMANO " &amp; 'Elenco Prezzi'!$C$271)</f>
        <v>SOMMANO m2</v>
      </c>
      <c r="D988" s="70"/>
      <c r="E988" s="70"/>
      <c r="F988" s="70"/>
      <c r="G988" s="70"/>
      <c r="H988" s="69">
        <f>SUM($H$985:$H$987)</f>
        <v>31.472999999999999</v>
      </c>
      <c r="I988" s="65">
        <f>('Elenco Prezzi'!$D$271)</f>
        <v>4</v>
      </c>
      <c r="J988" s="65">
        <f>PRODUCT($H$988,$I$988)</f>
        <v>125.892</v>
      </c>
      <c r="DF988" s="8" t="s">
        <v>514</v>
      </c>
    </row>
    <row r="989" spans="1:110" ht="31.5" x14ac:dyDescent="0.25">
      <c r="A989" s="3">
        <v>127</v>
      </c>
      <c r="B989" s="56" t="str">
        <f>('Elenco Prezzi'!$A$274)</f>
        <v>NP 0001</v>
      </c>
      <c r="C989" s="23" t="str">
        <f>('Elenco Prezzi'!$B$274)</f>
        <v>Gruppo composto da tavolo direzionale con sedia</v>
      </c>
      <c r="D989" s="70"/>
      <c r="E989" s="70"/>
      <c r="F989" s="70"/>
      <c r="G989" s="70"/>
      <c r="H989" s="69"/>
      <c r="I989" s="65"/>
      <c r="J989" s="65"/>
      <c r="K989" s="58" t="s">
        <v>231</v>
      </c>
      <c r="L989" s="58" t="s">
        <v>232</v>
      </c>
      <c r="M989" s="58" t="s">
        <v>232</v>
      </c>
      <c r="N989" s="58" t="s">
        <v>234</v>
      </c>
      <c r="DF989" s="8" t="s">
        <v>514</v>
      </c>
    </row>
    <row r="990" spans="1:110" hidden="1" outlineLevel="1" x14ac:dyDescent="0.25">
      <c r="C990" s="57" t="str">
        <f>('Elenco Prezzi'!$B$275)</f>
        <v>Gruppo composto da tavolo direzionale con sedia</v>
      </c>
      <c r="D990" s="70"/>
      <c r="E990" s="70"/>
      <c r="F990" s="70"/>
      <c r="G990" s="70"/>
      <c r="H990" s="69"/>
      <c r="I990" s="65"/>
      <c r="J990" s="65"/>
      <c r="DF990" s="8" t="s">
        <v>514</v>
      </c>
    </row>
    <row r="991" spans="1:110" hidden="1" outlineLevel="1" x14ac:dyDescent="0.25">
      <c r="C991" s="57" t="str">
        <f>('Elenco Prezzi'!$B$276)</f>
        <v>Gruppo composto da tavolo direzionale con sedia</v>
      </c>
      <c r="D991" s="70"/>
      <c r="E991" s="70"/>
      <c r="F991" s="70"/>
      <c r="G991" s="70"/>
      <c r="H991" s="69"/>
      <c r="I991" s="65"/>
      <c r="J991" s="65"/>
      <c r="DF991" s="8" t="s">
        <v>514</v>
      </c>
    </row>
    <row r="992" spans="1:110" outlineLevel="1" x14ac:dyDescent="0.25">
      <c r="C992" s="59" t="s">
        <v>235</v>
      </c>
      <c r="D992" s="70"/>
      <c r="E992" s="70"/>
      <c r="F992" s="70"/>
      <c r="G992" s="70"/>
      <c r="H992" s="69"/>
      <c r="I992" s="65"/>
      <c r="J992" s="65"/>
      <c r="DF992" s="8" t="s">
        <v>514</v>
      </c>
    </row>
    <row r="993" spans="1:110" ht="31.5" outlineLevel="1" x14ac:dyDescent="0.25">
      <c r="C993" s="5" t="s">
        <v>510</v>
      </c>
      <c r="D993" s="70">
        <v>5</v>
      </c>
      <c r="E993" s="70"/>
      <c r="F993" s="70"/>
      <c r="G993" s="70"/>
      <c r="H993" s="69">
        <f>PRODUCT($CV$993,$CW$993,$CX$993,$CY$993)</f>
        <v>5</v>
      </c>
      <c r="I993" s="65"/>
      <c r="J993" s="65"/>
      <c r="CV993" s="8">
        <f>(5)</f>
        <v>5</v>
      </c>
      <c r="DF993" s="8" t="s">
        <v>514</v>
      </c>
    </row>
    <row r="994" spans="1:110" x14ac:dyDescent="0.25">
      <c r="C994" s="60" t="str">
        <f>CONCATENATE("SOMMANO " &amp; 'Elenco Prezzi'!$C$274)</f>
        <v>SOMMANO Cad. Uno</v>
      </c>
      <c r="D994" s="70"/>
      <c r="E994" s="70"/>
      <c r="F994" s="70"/>
      <c r="G994" s="70"/>
      <c r="H994" s="69">
        <f>SUM($H$993:$H$993)</f>
        <v>5</v>
      </c>
      <c r="I994" s="65"/>
      <c r="J994" s="65"/>
      <c r="DF994" s="8" t="s">
        <v>514</v>
      </c>
    </row>
    <row r="995" spans="1:110" ht="47.25" x14ac:dyDescent="0.25">
      <c r="A995" s="3">
        <v>128</v>
      </c>
      <c r="B995" s="56" t="str">
        <f>('Elenco Prezzi'!$A$277)</f>
        <v>NP 001.100</v>
      </c>
      <c r="C995" s="23" t="str">
        <f>('Elenco Prezzi'!$B$277)</f>
        <v>Fornitura a corpo gruppo apparecchi idraulici per bagni composto da Lavandino WC e Bidet</v>
      </c>
      <c r="D995" s="70"/>
      <c r="E995" s="70"/>
      <c r="F995" s="70"/>
      <c r="G995" s="70"/>
      <c r="H995" s="69"/>
      <c r="I995" s="65"/>
      <c r="J995" s="65"/>
      <c r="K995" s="58" t="s">
        <v>511</v>
      </c>
      <c r="L995" s="58" t="s">
        <v>512</v>
      </c>
      <c r="M995" s="58" t="s">
        <v>232</v>
      </c>
      <c r="N995" s="58" t="s">
        <v>234</v>
      </c>
      <c r="DF995" s="8" t="s">
        <v>514</v>
      </c>
    </row>
    <row r="996" spans="1:110" ht="31.5" hidden="1" outlineLevel="1" x14ac:dyDescent="0.25">
      <c r="C996" s="57" t="str">
        <f>('Elenco Prezzi'!$B$278)</f>
        <v>Fornitura a corpo gruppo apparecchi idraulici per bagni composto da Lavandino WC e Bidet</v>
      </c>
      <c r="D996" s="70"/>
      <c r="E996" s="70"/>
      <c r="F996" s="70"/>
      <c r="G996" s="70"/>
      <c r="H996" s="69"/>
      <c r="I996" s="65"/>
      <c r="J996" s="65"/>
      <c r="DF996" s="8" t="s">
        <v>514</v>
      </c>
    </row>
    <row r="997" spans="1:110" ht="31.5" hidden="1" outlineLevel="1" x14ac:dyDescent="0.25">
      <c r="C997" s="57" t="str">
        <f>('Elenco Prezzi'!$B$279)</f>
        <v>Fornitura a corpo gruppo apparecchi idraulici per bagni composto da Lavandino WC e Bidet</v>
      </c>
      <c r="D997" s="70"/>
      <c r="E997" s="70"/>
      <c r="F997" s="70"/>
      <c r="G997" s="70"/>
      <c r="H997" s="69"/>
      <c r="I997" s="65"/>
      <c r="J997" s="65"/>
      <c r="DF997" s="8" t="s">
        <v>514</v>
      </c>
    </row>
    <row r="998" spans="1:110" outlineLevel="1" x14ac:dyDescent="0.25">
      <c r="C998" s="59" t="s">
        <v>235</v>
      </c>
      <c r="D998" s="70"/>
      <c r="E998" s="70"/>
      <c r="F998" s="70"/>
      <c r="G998" s="70"/>
      <c r="H998" s="69"/>
      <c r="I998" s="65"/>
      <c r="J998" s="65"/>
      <c r="DF998" s="8" t="s">
        <v>514</v>
      </c>
    </row>
    <row r="999" spans="1:110" ht="31.5" outlineLevel="1" x14ac:dyDescent="0.25">
      <c r="C999" s="5" t="s">
        <v>513</v>
      </c>
      <c r="D999" s="70">
        <v>1</v>
      </c>
      <c r="E999" s="70"/>
      <c r="F999" s="70"/>
      <c r="G999" s="70"/>
      <c r="H999" s="69">
        <f>PRODUCT($CV$999,$CW$999,$CX$999,$CY$999)</f>
        <v>1</v>
      </c>
      <c r="I999" s="65"/>
      <c r="J999" s="65"/>
      <c r="CV999" s="8">
        <f>(1)</f>
        <v>1</v>
      </c>
      <c r="DF999" s="8" t="s">
        <v>514</v>
      </c>
    </row>
    <row r="1000" spans="1:110" x14ac:dyDescent="0.25">
      <c r="C1000" s="60" t="str">
        <f>CONCATENATE("SOMMANO " &amp; 'Elenco Prezzi'!$C$277)</f>
        <v>SOMMANO Cad. Uno</v>
      </c>
      <c r="D1000" s="70"/>
      <c r="E1000" s="70"/>
      <c r="F1000" s="70"/>
      <c r="G1000" s="70"/>
      <c r="H1000" s="69">
        <f>SUM($H$999:$H$999)</f>
        <v>1</v>
      </c>
      <c r="I1000" s="65">
        <f>('Elenco Prezzi'!$D$277)</f>
        <v>280</v>
      </c>
      <c r="J1000" s="65">
        <f>PRODUCT($H$1000,$I$1000)</f>
        <v>280</v>
      </c>
      <c r="DF1000" s="8" t="s">
        <v>514</v>
      </c>
    </row>
    <row r="1001" spans="1:110" x14ac:dyDescent="0.25">
      <c r="D1001" s="70"/>
      <c r="E1001" s="70"/>
      <c r="F1001" s="70"/>
      <c r="G1001" s="70"/>
      <c r="H1001" s="69"/>
      <c r="I1001" s="65"/>
      <c r="J1001" s="65"/>
      <c r="DF1001" s="8" t="s">
        <v>514</v>
      </c>
    </row>
    <row r="1002" spans="1:110" x14ac:dyDescent="0.25">
      <c r="C1002" s="60" t="s">
        <v>12</v>
      </c>
      <c r="D1002" s="70"/>
      <c r="E1002" s="70"/>
      <c r="F1002" s="70"/>
      <c r="G1002" s="70"/>
      <c r="H1002" s="69"/>
      <c r="I1002" s="65"/>
      <c r="J1002" s="66">
        <f>SUM($J$4:$J$1001)</f>
        <v>138707.36362800002</v>
      </c>
      <c r="DF1002" s="8" t="s">
        <v>514</v>
      </c>
    </row>
    <row r="1003" spans="1:110" x14ac:dyDescent="0.25">
      <c r="D1003" s="70"/>
      <c r="E1003" s="70"/>
      <c r="F1003" s="70"/>
      <c r="G1003" s="70"/>
      <c r="H1003" s="69"/>
      <c r="I1003" s="65"/>
      <c r="J1003" s="65"/>
    </row>
    <row r="1004" spans="1:110" x14ac:dyDescent="0.25">
      <c r="D1004" s="70"/>
      <c r="E1004" s="70"/>
      <c r="F1004" s="70"/>
      <c r="G1004" s="70"/>
      <c r="H1004" s="69"/>
      <c r="I1004" s="65"/>
      <c r="J1004" s="65"/>
    </row>
    <row r="1005" spans="1:110" x14ac:dyDescent="0.25">
      <c r="D1005" s="70"/>
      <c r="E1005" s="70"/>
      <c r="F1005" s="70"/>
      <c r="G1005" s="70"/>
      <c r="H1005" s="69"/>
      <c r="I1005" s="65"/>
      <c r="J1005" s="65"/>
    </row>
    <row r="1006" spans="1:110" x14ac:dyDescent="0.25">
      <c r="D1006" s="70"/>
      <c r="E1006" s="70"/>
      <c r="F1006" s="70"/>
      <c r="G1006" s="70"/>
      <c r="H1006" s="69"/>
      <c r="I1006" s="65"/>
      <c r="J1006" s="65"/>
    </row>
    <row r="1007" spans="1:110" x14ac:dyDescent="0.25">
      <c r="D1007" s="70"/>
      <c r="E1007" s="70"/>
      <c r="F1007" s="70"/>
      <c r="G1007" s="70"/>
      <c r="H1007" s="69"/>
      <c r="I1007" s="65"/>
      <c r="J1007" s="65"/>
    </row>
  </sheetData>
  <mergeCells count="9">
    <mergeCell ref="I2:J2"/>
    <mergeCell ref="A1:N1"/>
    <mergeCell ref="A2:A3"/>
    <mergeCell ref="B2:B3"/>
    <mergeCell ref="C2:C3"/>
    <mergeCell ref="D2:G2"/>
    <mergeCell ref="H2:H3"/>
    <mergeCell ref="K2:M2"/>
    <mergeCell ref="N2:N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2</vt:i4>
      </vt:variant>
    </vt:vector>
  </HeadingPairs>
  <TitlesOfParts>
    <vt:vector size="5" baseType="lpstr">
      <vt:lpstr>Dati Generali</vt:lpstr>
      <vt:lpstr>Elenco Prezzi</vt:lpstr>
      <vt:lpstr>Misurazioni</vt:lpstr>
      <vt:lpstr>'Dati Generali'!Area_stampa</vt:lpstr>
      <vt:lpstr>'Elenco Prezzi'!Area_stampa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ArchVISION OFFICE for REVIT</dc:title>
  <dc:creator>Claudio Mussa</dc:creator>
  <cp:keywords>ArchVISION OFFICE for REVIT</cp:keywords>
  <cp:lastModifiedBy>Claudio Mussa</cp:lastModifiedBy>
  <cp:lastPrinted>2020-05-10T09:22:06Z</cp:lastPrinted>
  <dcterms:created xsi:type="dcterms:W3CDTF">2020-05-08T08:43:52Z</dcterms:created>
  <dcterms:modified xsi:type="dcterms:W3CDTF">2023-12-01T21:09:58Z</dcterms:modified>
</cp:coreProperties>
</file>